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45" windowWidth="15585" windowHeight="6885" tabRatio="931" activeTab="2"/>
  </bookViews>
  <sheets>
    <sheet name="Top Sheet" sheetId="9" r:id="rId1"/>
    <sheet name="Summary New Year" sheetId="20" r:id="rId2"/>
    <sheet name="New Year-Full Year" sheetId="1" r:id="rId3"/>
  </sheets>
  <definedNames>
    <definedName name="Cur_Actuals">#REF!</definedName>
    <definedName name="Cur_Budget">#REF!</definedName>
    <definedName name="Cur_Month">'Top Sheet'!$C$5</definedName>
    <definedName name="Cur_Year">'Top Sheet'!$C$2</definedName>
    <definedName name="Lookup_Month">#REF!</definedName>
    <definedName name="_xlnm.Print_Titles" localSheetId="2">'New Year-Full Year'!$1:$4</definedName>
    <definedName name="_xlnm.Print_Titles" localSheetId="1">'Summary New Year'!$1:$4</definedName>
    <definedName name="PY_Actual">#REF!</definedName>
  </definedNames>
  <calcPr calcId="145621"/>
</workbook>
</file>

<file path=xl/calcChain.xml><?xml version="1.0" encoding="utf-8"?>
<calcChain xmlns="http://schemas.openxmlformats.org/spreadsheetml/2006/main">
  <c r="M3" i="20" l="1"/>
  <c r="G4" i="20"/>
  <c r="F4" i="20"/>
  <c r="E4" i="20"/>
  <c r="N4" i="20"/>
  <c r="M4" i="20"/>
  <c r="R51" i="1"/>
  <c r="M51" i="1"/>
  <c r="K51" i="1"/>
  <c r="L51" i="1" s="1"/>
  <c r="J51" i="1"/>
  <c r="N45" i="20"/>
  <c r="M45" i="20"/>
  <c r="J45" i="20"/>
  <c r="H45" i="20"/>
  <c r="I45" i="20" s="1"/>
  <c r="F45" i="20"/>
  <c r="E45" i="20"/>
  <c r="G45" i="20" l="1"/>
  <c r="O45" i="20"/>
  <c r="N112" i="20" l="1"/>
  <c r="N110" i="20"/>
  <c r="N103" i="20"/>
  <c r="N102" i="20"/>
  <c r="N101" i="20"/>
  <c r="N100" i="20"/>
  <c r="N99" i="20"/>
  <c r="N98" i="20"/>
  <c r="N97" i="20"/>
  <c r="N96" i="20"/>
  <c r="N92" i="20"/>
  <c r="N91" i="20"/>
  <c r="N90" i="20"/>
  <c r="N89" i="20"/>
  <c r="N88" i="20"/>
  <c r="N87" i="20"/>
  <c r="N86" i="20"/>
  <c r="N80" i="20"/>
  <c r="N79" i="20"/>
  <c r="N68" i="20"/>
  <c r="N67" i="20"/>
  <c r="N66" i="20"/>
  <c r="N65" i="20"/>
  <c r="N64" i="20"/>
  <c r="N63" i="20"/>
  <c r="N59" i="20"/>
  <c r="N58" i="20"/>
  <c r="N57" i="20"/>
  <c r="N52" i="20"/>
  <c r="N49" i="20"/>
  <c r="N48" i="20"/>
  <c r="N42" i="20"/>
  <c r="N41" i="20"/>
  <c r="N40" i="20"/>
  <c r="N39" i="20"/>
  <c r="N33" i="20"/>
  <c r="N32" i="20"/>
  <c r="N30" i="20"/>
  <c r="N29" i="20"/>
  <c r="N28" i="20"/>
  <c r="N24" i="20"/>
  <c r="N15" i="20"/>
  <c r="N11" i="20"/>
  <c r="N8" i="20"/>
  <c r="N7" i="20"/>
  <c r="M111" i="20"/>
  <c r="M110" i="20"/>
  <c r="M103" i="20"/>
  <c r="M102" i="20"/>
  <c r="M101" i="20"/>
  <c r="M100" i="20"/>
  <c r="M99" i="20"/>
  <c r="M98" i="20"/>
  <c r="M97" i="20"/>
  <c r="M96" i="20"/>
  <c r="M92" i="20"/>
  <c r="M91" i="20"/>
  <c r="M90" i="20"/>
  <c r="M89" i="20"/>
  <c r="M88" i="20"/>
  <c r="M87" i="20"/>
  <c r="M86" i="20"/>
  <c r="M80" i="20"/>
  <c r="M79" i="20"/>
  <c r="M78" i="20"/>
  <c r="M68" i="20"/>
  <c r="M67" i="20"/>
  <c r="M66" i="20"/>
  <c r="M65" i="20"/>
  <c r="M64" i="20"/>
  <c r="M63" i="20"/>
  <c r="M59" i="20"/>
  <c r="M58" i="20"/>
  <c r="M57" i="20"/>
  <c r="M52" i="20"/>
  <c r="M49" i="20"/>
  <c r="M48" i="20"/>
  <c r="M42" i="20"/>
  <c r="M41" i="20"/>
  <c r="M40" i="20"/>
  <c r="M39" i="20"/>
  <c r="M36" i="20"/>
  <c r="M33" i="20"/>
  <c r="M32" i="20"/>
  <c r="M31" i="20"/>
  <c r="M30" i="20"/>
  <c r="M29" i="20"/>
  <c r="M28" i="20"/>
  <c r="M24" i="20"/>
  <c r="M19" i="20"/>
  <c r="M18" i="20"/>
  <c r="M16" i="20"/>
  <c r="M15" i="20"/>
  <c r="M11" i="20"/>
  <c r="M8" i="20"/>
  <c r="M7" i="20"/>
  <c r="R85" i="1"/>
  <c r="M85" i="1"/>
  <c r="K85" i="1"/>
  <c r="L85" i="1" s="1"/>
  <c r="J85" i="1"/>
  <c r="H82" i="1"/>
  <c r="H86" i="1"/>
  <c r="H80" i="1"/>
  <c r="N50" i="20" l="1"/>
  <c r="M93" i="20"/>
  <c r="M34" i="20"/>
  <c r="M12" i="20"/>
  <c r="M43" i="20"/>
  <c r="N93" i="20"/>
  <c r="N104" i="20"/>
  <c r="M50" i="20"/>
  <c r="M104" i="20"/>
  <c r="N12" i="20"/>
  <c r="N43" i="20"/>
  <c r="M105" i="20" l="1"/>
  <c r="N105" i="20"/>
  <c r="G125" i="1"/>
  <c r="G119" i="1"/>
  <c r="R114" i="1"/>
  <c r="M114" i="1"/>
  <c r="K114" i="1"/>
  <c r="L114" i="1" s="1"/>
  <c r="J114" i="1"/>
  <c r="H7" i="1"/>
  <c r="H70" i="1"/>
  <c r="H71" i="1"/>
  <c r="H72" i="1"/>
  <c r="H73" i="1"/>
  <c r="H74" i="1"/>
  <c r="H69" i="1"/>
  <c r="H62" i="1"/>
  <c r="H63" i="1"/>
  <c r="H64" i="1"/>
  <c r="H65" i="1"/>
  <c r="H61" i="1"/>
  <c r="H58" i="1"/>
  <c r="H46" i="1"/>
  <c r="H47" i="1"/>
  <c r="H48" i="1"/>
  <c r="H45" i="1"/>
  <c r="H42" i="1"/>
  <c r="H35" i="1"/>
  <c r="H36" i="1"/>
  <c r="H37" i="1"/>
  <c r="H38" i="1"/>
  <c r="H39" i="1"/>
  <c r="H34" i="1"/>
  <c r="H109" i="1"/>
  <c r="R123" i="1"/>
  <c r="K123" i="1"/>
  <c r="L123" i="1" s="1"/>
  <c r="J123" i="1"/>
  <c r="R82" i="1"/>
  <c r="M82" i="1"/>
  <c r="K82" i="1"/>
  <c r="L82" i="1" s="1"/>
  <c r="J82" i="1"/>
  <c r="P80" i="1"/>
  <c r="M74" i="20" s="1"/>
  <c r="M76" i="20" s="1"/>
  <c r="M81" i="20" s="1"/>
  <c r="F28" i="20" l="1"/>
  <c r="F29" i="20"/>
  <c r="F30" i="20"/>
  <c r="F31" i="20"/>
  <c r="F32" i="20"/>
  <c r="F33" i="20"/>
  <c r="F36" i="20"/>
  <c r="F39" i="20"/>
  <c r="F40" i="20"/>
  <c r="F41" i="20"/>
  <c r="F42" i="20"/>
  <c r="F48" i="20"/>
  <c r="F49" i="20"/>
  <c r="F52" i="20"/>
  <c r="F55" i="20"/>
  <c r="F56" i="20"/>
  <c r="F57" i="20"/>
  <c r="F58" i="20"/>
  <c r="F59" i="20"/>
  <c r="F63" i="20"/>
  <c r="F64" i="20"/>
  <c r="F65" i="20"/>
  <c r="F66" i="20"/>
  <c r="F67" i="20"/>
  <c r="F68" i="20"/>
  <c r="F78" i="20"/>
  <c r="F79" i="20"/>
  <c r="F80" i="20"/>
  <c r="F86" i="20"/>
  <c r="F87" i="20"/>
  <c r="F88" i="20"/>
  <c r="F89" i="20"/>
  <c r="F90" i="20"/>
  <c r="F91" i="20"/>
  <c r="F92" i="20"/>
  <c r="F96" i="20"/>
  <c r="F97" i="20"/>
  <c r="F98" i="20"/>
  <c r="F99" i="20"/>
  <c r="F100" i="20"/>
  <c r="F101" i="20"/>
  <c r="F102" i="20"/>
  <c r="F103" i="20"/>
  <c r="F109" i="20"/>
  <c r="F110" i="20"/>
  <c r="F111" i="20"/>
  <c r="F112" i="20"/>
  <c r="F15" i="20"/>
  <c r="F16" i="20"/>
  <c r="F17" i="20"/>
  <c r="F18" i="20"/>
  <c r="F19" i="20"/>
  <c r="F7" i="20"/>
  <c r="F8" i="20"/>
  <c r="F9" i="20"/>
  <c r="F10" i="20"/>
  <c r="F11" i="20"/>
  <c r="F24" i="20"/>
  <c r="H150" i="1"/>
  <c r="H122" i="1"/>
  <c r="F43" i="20" l="1"/>
  <c r="F113" i="20"/>
  <c r="F60" i="20"/>
  <c r="F69" i="20"/>
  <c r="F50" i="20"/>
  <c r="F93" i="20"/>
  <c r="F104" i="20"/>
  <c r="F34" i="20"/>
  <c r="F105" i="20" l="1"/>
  <c r="F70" i="20"/>
  <c r="H124" i="1" l="1"/>
  <c r="O80" i="20" l="1"/>
  <c r="E112" i="20"/>
  <c r="G112" i="20" s="1"/>
  <c r="E111" i="20"/>
  <c r="E110" i="20"/>
  <c r="E109" i="20"/>
  <c r="E102" i="20"/>
  <c r="E101" i="20"/>
  <c r="E100" i="20"/>
  <c r="E99" i="20"/>
  <c r="E98" i="20"/>
  <c r="E97" i="20"/>
  <c r="E96" i="20"/>
  <c r="E87" i="20"/>
  <c r="E88" i="20"/>
  <c r="E89" i="20"/>
  <c r="G89" i="20" s="1"/>
  <c r="E90" i="20"/>
  <c r="E91" i="20"/>
  <c r="E92" i="20"/>
  <c r="E86" i="20"/>
  <c r="E80" i="20"/>
  <c r="G80" i="20" s="1"/>
  <c r="E79" i="20"/>
  <c r="E68" i="20"/>
  <c r="E67" i="20"/>
  <c r="E66" i="20"/>
  <c r="E65" i="20"/>
  <c r="E64" i="20"/>
  <c r="E63" i="20"/>
  <c r="E59" i="20"/>
  <c r="E58" i="20"/>
  <c r="E56" i="20"/>
  <c r="E55" i="20"/>
  <c r="E52" i="20"/>
  <c r="E49" i="20"/>
  <c r="E48" i="20"/>
  <c r="E42" i="20"/>
  <c r="E41" i="20"/>
  <c r="E40" i="20"/>
  <c r="E39" i="20"/>
  <c r="E36" i="20"/>
  <c r="E29" i="20"/>
  <c r="E30" i="20"/>
  <c r="E31" i="20"/>
  <c r="E32" i="20"/>
  <c r="E33" i="20"/>
  <c r="E28" i="20"/>
  <c r="K113" i="20"/>
  <c r="J112" i="20"/>
  <c r="H112" i="20"/>
  <c r="I112" i="20" s="1"/>
  <c r="J111" i="20"/>
  <c r="H111" i="20"/>
  <c r="I111" i="20" s="1"/>
  <c r="G111" i="20"/>
  <c r="J110" i="20"/>
  <c r="H110" i="20"/>
  <c r="I110" i="20" s="1"/>
  <c r="J109" i="20"/>
  <c r="H109" i="20"/>
  <c r="I109" i="20" s="1"/>
  <c r="K104" i="20"/>
  <c r="O103" i="20"/>
  <c r="J103" i="20"/>
  <c r="H103" i="20"/>
  <c r="I103" i="20" s="1"/>
  <c r="J102" i="20"/>
  <c r="H102" i="20"/>
  <c r="I102" i="20" s="1"/>
  <c r="O101" i="20"/>
  <c r="J101" i="20"/>
  <c r="H101" i="20"/>
  <c r="I101" i="20" s="1"/>
  <c r="G101" i="20"/>
  <c r="J100" i="20"/>
  <c r="H100" i="20"/>
  <c r="I100" i="20" s="1"/>
  <c r="J99" i="20"/>
  <c r="H99" i="20"/>
  <c r="I99" i="20" s="1"/>
  <c r="J98" i="20"/>
  <c r="H98" i="20"/>
  <c r="I98" i="20" s="1"/>
  <c r="J97" i="20"/>
  <c r="H97" i="20"/>
  <c r="I97" i="20" s="1"/>
  <c r="J96" i="20"/>
  <c r="H96" i="20"/>
  <c r="I96" i="20" s="1"/>
  <c r="K93" i="20"/>
  <c r="K105" i="20" s="1"/>
  <c r="J92" i="20"/>
  <c r="H92" i="20"/>
  <c r="I92" i="20" s="1"/>
  <c r="J91" i="20"/>
  <c r="H91" i="20"/>
  <c r="I91" i="20" s="1"/>
  <c r="J90" i="20"/>
  <c r="H90" i="20"/>
  <c r="I90" i="20" s="1"/>
  <c r="J89" i="20"/>
  <c r="H89" i="20"/>
  <c r="I89" i="20" s="1"/>
  <c r="J88" i="20"/>
  <c r="H88" i="20"/>
  <c r="I88" i="20" s="1"/>
  <c r="J87" i="20"/>
  <c r="H87" i="20"/>
  <c r="I87" i="20" s="1"/>
  <c r="J86" i="20"/>
  <c r="H86" i="20"/>
  <c r="K81" i="20"/>
  <c r="J79" i="20"/>
  <c r="H79" i="20"/>
  <c r="I79" i="20" s="1"/>
  <c r="J78" i="20"/>
  <c r="H78" i="20"/>
  <c r="I78" i="20" s="1"/>
  <c r="J76" i="20"/>
  <c r="H76" i="20"/>
  <c r="I76" i="20" s="1"/>
  <c r="J74" i="20"/>
  <c r="H74" i="20"/>
  <c r="K69" i="20"/>
  <c r="J68" i="20"/>
  <c r="H68" i="20"/>
  <c r="I68" i="20" s="1"/>
  <c r="J67" i="20"/>
  <c r="H67" i="20"/>
  <c r="I67" i="20" s="1"/>
  <c r="J66" i="20"/>
  <c r="H66" i="20"/>
  <c r="I66" i="20" s="1"/>
  <c r="J65" i="20"/>
  <c r="H65" i="20"/>
  <c r="I65" i="20" s="1"/>
  <c r="J64" i="20"/>
  <c r="H64" i="20"/>
  <c r="I64" i="20" s="1"/>
  <c r="J63" i="20"/>
  <c r="H63" i="20"/>
  <c r="I63" i="20" s="1"/>
  <c r="K60" i="20"/>
  <c r="J59" i="20"/>
  <c r="H59" i="20"/>
  <c r="I59" i="20" s="1"/>
  <c r="J58" i="20"/>
  <c r="H58" i="20"/>
  <c r="I58" i="20" s="1"/>
  <c r="J57" i="20"/>
  <c r="H57" i="20"/>
  <c r="I57" i="20" s="1"/>
  <c r="J56" i="20"/>
  <c r="H56" i="20"/>
  <c r="I56" i="20" s="1"/>
  <c r="J55" i="20"/>
  <c r="H55" i="20"/>
  <c r="I55" i="20" s="1"/>
  <c r="J52" i="20"/>
  <c r="H52" i="20"/>
  <c r="I52" i="20" s="1"/>
  <c r="K50" i="20"/>
  <c r="J49" i="20"/>
  <c r="H49" i="20"/>
  <c r="I49" i="20" s="1"/>
  <c r="J48" i="20"/>
  <c r="H48" i="20"/>
  <c r="K43" i="20"/>
  <c r="J42" i="20"/>
  <c r="H42" i="20"/>
  <c r="I42" i="20" s="1"/>
  <c r="J41" i="20"/>
  <c r="H41" i="20"/>
  <c r="I41" i="20" s="1"/>
  <c r="J40" i="20"/>
  <c r="H40" i="20"/>
  <c r="I40" i="20" s="1"/>
  <c r="J39" i="20"/>
  <c r="H39" i="20"/>
  <c r="J36" i="20"/>
  <c r="H36" i="20"/>
  <c r="I36" i="20" s="1"/>
  <c r="K34" i="20"/>
  <c r="J33" i="20"/>
  <c r="H33" i="20"/>
  <c r="I33" i="20" s="1"/>
  <c r="J32" i="20"/>
  <c r="H32" i="20"/>
  <c r="I32" i="20" s="1"/>
  <c r="J31" i="20"/>
  <c r="H31" i="20"/>
  <c r="I31" i="20" s="1"/>
  <c r="J30" i="20"/>
  <c r="H30" i="20"/>
  <c r="I30" i="20" s="1"/>
  <c r="J29" i="20"/>
  <c r="H29" i="20"/>
  <c r="I29" i="20" s="1"/>
  <c r="J28" i="20"/>
  <c r="H28" i="20"/>
  <c r="I28" i="20" s="1"/>
  <c r="J24" i="20"/>
  <c r="H24" i="20"/>
  <c r="I24" i="20" s="1"/>
  <c r="K20" i="20"/>
  <c r="J19" i="20"/>
  <c r="H19" i="20"/>
  <c r="I19" i="20" s="1"/>
  <c r="G19" i="20"/>
  <c r="J18" i="20"/>
  <c r="H18" i="20"/>
  <c r="I18" i="20" s="1"/>
  <c r="G18" i="20"/>
  <c r="J17" i="20"/>
  <c r="H17" i="20"/>
  <c r="I17" i="20" s="1"/>
  <c r="J16" i="20"/>
  <c r="H16" i="20"/>
  <c r="I16" i="20" s="1"/>
  <c r="G16" i="20"/>
  <c r="J15" i="20"/>
  <c r="H15" i="20"/>
  <c r="I15" i="20" s="1"/>
  <c r="K12" i="20"/>
  <c r="J11" i="20"/>
  <c r="H11" i="20"/>
  <c r="I11" i="20" s="1"/>
  <c r="O10" i="20"/>
  <c r="J10" i="20"/>
  <c r="H10" i="20"/>
  <c r="I10" i="20" s="1"/>
  <c r="J9" i="20"/>
  <c r="H9" i="20"/>
  <c r="I9" i="20" s="1"/>
  <c r="J8" i="20"/>
  <c r="H8" i="20"/>
  <c r="I8" i="20" s="1"/>
  <c r="J7" i="20"/>
  <c r="H7" i="20"/>
  <c r="K21" i="20" l="1"/>
  <c r="E50" i="20"/>
  <c r="G42" i="20"/>
  <c r="G56" i="20"/>
  <c r="O11" i="20"/>
  <c r="G99" i="20"/>
  <c r="G87" i="20"/>
  <c r="G91" i="20"/>
  <c r="G39" i="20"/>
  <c r="G41" i="20"/>
  <c r="G59" i="20"/>
  <c r="G110" i="20"/>
  <c r="E93" i="20"/>
  <c r="E113" i="20"/>
  <c r="G97" i="20"/>
  <c r="G88" i="20"/>
  <c r="G92" i="20"/>
  <c r="G98" i="20"/>
  <c r="G102" i="20"/>
  <c r="G96" i="20"/>
  <c r="G100" i="20"/>
  <c r="G90" i="20"/>
  <c r="G29" i="20"/>
  <c r="G33" i="20"/>
  <c r="G67" i="20"/>
  <c r="G28" i="20"/>
  <c r="G52" i="20"/>
  <c r="E34" i="20"/>
  <c r="G30" i="20"/>
  <c r="H43" i="20"/>
  <c r="I43" i="20" s="1"/>
  <c r="G65" i="20"/>
  <c r="G58" i="20"/>
  <c r="G68" i="20"/>
  <c r="J34" i="20"/>
  <c r="O30" i="20"/>
  <c r="G49" i="20"/>
  <c r="G64" i="20"/>
  <c r="G36" i="20"/>
  <c r="E69" i="20"/>
  <c r="J43" i="20"/>
  <c r="J50" i="20"/>
  <c r="E43" i="20"/>
  <c r="G66" i="20"/>
  <c r="G40" i="20"/>
  <c r="G32" i="20"/>
  <c r="G31" i="20"/>
  <c r="O8" i="20"/>
  <c r="G109" i="20"/>
  <c r="H12" i="20"/>
  <c r="I12" i="20" s="1"/>
  <c r="H69" i="20"/>
  <c r="I69" i="20" s="1"/>
  <c r="H113" i="20"/>
  <c r="I113" i="20" s="1"/>
  <c r="J12" i="20"/>
  <c r="H34" i="20"/>
  <c r="I34" i="20" s="1"/>
  <c r="G48" i="20"/>
  <c r="J69" i="20"/>
  <c r="J81" i="20"/>
  <c r="J113" i="20"/>
  <c r="O92" i="20"/>
  <c r="O32" i="20"/>
  <c r="F20" i="20"/>
  <c r="H20" i="20"/>
  <c r="I20" i="20" s="1"/>
  <c r="H50" i="20"/>
  <c r="I50" i="20" s="1"/>
  <c r="I48" i="20"/>
  <c r="I39" i="20"/>
  <c r="J60" i="20"/>
  <c r="J104" i="20"/>
  <c r="G55" i="20"/>
  <c r="I7" i="20"/>
  <c r="F12" i="20"/>
  <c r="J20" i="20"/>
  <c r="G17" i="20"/>
  <c r="K70" i="20"/>
  <c r="K115" i="20" s="1"/>
  <c r="K116" i="20" s="1"/>
  <c r="H81" i="20"/>
  <c r="I74" i="20"/>
  <c r="G86" i="20"/>
  <c r="H60" i="20"/>
  <c r="I60" i="20" s="1"/>
  <c r="H93" i="20"/>
  <c r="I86" i="20"/>
  <c r="H104" i="20"/>
  <c r="I104" i="20" s="1"/>
  <c r="G63" i="20"/>
  <c r="J93" i="20"/>
  <c r="E57" i="20"/>
  <c r="G57" i="20" s="1"/>
  <c r="G50" i="20" l="1"/>
  <c r="G113" i="20"/>
  <c r="J21" i="20"/>
  <c r="G34" i="20"/>
  <c r="E60" i="20"/>
  <c r="E70" i="20" s="1"/>
  <c r="G69" i="20"/>
  <c r="G43" i="20"/>
  <c r="H70" i="20"/>
  <c r="I70" i="20" s="1"/>
  <c r="J70" i="20"/>
  <c r="I93" i="20"/>
  <c r="H105" i="20"/>
  <c r="I105" i="20" s="1"/>
  <c r="I81" i="20"/>
  <c r="J105" i="20"/>
  <c r="H21" i="20"/>
  <c r="G93" i="20"/>
  <c r="F21" i="20"/>
  <c r="G60" i="20" l="1"/>
  <c r="J115" i="20"/>
  <c r="J116" i="20" s="1"/>
  <c r="I21" i="20"/>
  <c r="H115" i="20"/>
  <c r="I115" i="20" s="1"/>
  <c r="G70" i="20"/>
  <c r="H116" i="20" l="1"/>
  <c r="I116" i="20" s="1"/>
  <c r="H83" i="1" l="1"/>
  <c r="E78" i="20" s="1"/>
  <c r="H151" i="1"/>
  <c r="E103" i="20" s="1"/>
  <c r="E104" i="20" l="1"/>
  <c r="E105" i="20" s="1"/>
  <c r="G105" i="20" s="1"/>
  <c r="G103" i="20"/>
  <c r="R124" i="1"/>
  <c r="K124" i="1"/>
  <c r="L124" i="1" s="1"/>
  <c r="J124" i="1"/>
  <c r="G104" i="20" l="1"/>
  <c r="G79" i="20"/>
  <c r="G111" i="1"/>
  <c r="G112" i="1"/>
  <c r="G113" i="1"/>
  <c r="G109" i="1"/>
  <c r="G100" i="1"/>
  <c r="G95" i="1"/>
  <c r="G90" i="1"/>
  <c r="H19" i="1"/>
  <c r="E19" i="20" s="1"/>
  <c r="H18" i="1"/>
  <c r="E18" i="20" s="1"/>
  <c r="H17" i="1"/>
  <c r="E17" i="20" s="1"/>
  <c r="H16" i="1"/>
  <c r="E16" i="20" s="1"/>
  <c r="H15" i="1"/>
  <c r="E15" i="20" s="1"/>
  <c r="H8" i="1"/>
  <c r="E8" i="20" s="1"/>
  <c r="G8" i="20" s="1"/>
  <c r="H9" i="1"/>
  <c r="E9" i="20" s="1"/>
  <c r="G9" i="20" s="1"/>
  <c r="H10" i="1"/>
  <c r="E10" i="20" s="1"/>
  <c r="G10" i="20" s="1"/>
  <c r="H11" i="1"/>
  <c r="E11" i="20" s="1"/>
  <c r="G11" i="20" s="1"/>
  <c r="G78" i="20" l="1"/>
  <c r="H119" i="1"/>
  <c r="G80" i="1"/>
  <c r="H125" i="1"/>
  <c r="G120" i="1"/>
  <c r="H120" i="1" s="1"/>
  <c r="G15" i="20"/>
  <c r="E20" i="20"/>
  <c r="G20" i="20" s="1"/>
  <c r="E74" i="20"/>
  <c r="H129" i="1" l="1"/>
  <c r="E7" i="20"/>
  <c r="D130" i="1"/>
  <c r="E12" i="20" l="1"/>
  <c r="E21" i="20" s="1"/>
  <c r="G7" i="20"/>
  <c r="G21" i="20" l="1"/>
  <c r="G12" i="20"/>
  <c r="M160" i="1"/>
  <c r="M159" i="1"/>
  <c r="M158" i="1"/>
  <c r="M157" i="1"/>
  <c r="M151" i="1"/>
  <c r="M150" i="1"/>
  <c r="M149" i="1"/>
  <c r="M148" i="1"/>
  <c r="M147" i="1"/>
  <c r="M146" i="1"/>
  <c r="M145" i="1"/>
  <c r="M144" i="1"/>
  <c r="M140" i="1"/>
  <c r="M139" i="1"/>
  <c r="M138" i="1"/>
  <c r="M137" i="1"/>
  <c r="M136" i="1"/>
  <c r="M135" i="1"/>
  <c r="M134" i="1"/>
  <c r="M128" i="1"/>
  <c r="M127" i="1"/>
  <c r="M126" i="1"/>
  <c r="M125" i="1"/>
  <c r="M122" i="1"/>
  <c r="M121" i="1"/>
  <c r="M120" i="1"/>
  <c r="M119" i="1"/>
  <c r="M115" i="1"/>
  <c r="M113" i="1"/>
  <c r="M112" i="1"/>
  <c r="M111" i="1"/>
  <c r="M110" i="1"/>
  <c r="M109" i="1"/>
  <c r="M105" i="1"/>
  <c r="M104" i="1"/>
  <c r="M103" i="1"/>
  <c r="M102" i="1"/>
  <c r="M101" i="1"/>
  <c r="M100" i="1"/>
  <c r="M96" i="1"/>
  <c r="M95" i="1"/>
  <c r="M91" i="1"/>
  <c r="M90" i="1"/>
  <c r="M86" i="1"/>
  <c r="M84" i="1"/>
  <c r="M83" i="1"/>
  <c r="M81" i="1"/>
  <c r="M80" i="1"/>
  <c r="M74" i="1"/>
  <c r="M73" i="1"/>
  <c r="M72" i="1"/>
  <c r="M71" i="1"/>
  <c r="M70" i="1"/>
  <c r="M69" i="1"/>
  <c r="M65" i="1"/>
  <c r="M64" i="1"/>
  <c r="M63" i="1"/>
  <c r="M62" i="1"/>
  <c r="M61" i="1"/>
  <c r="M58" i="1"/>
  <c r="M55" i="1"/>
  <c r="M54" i="1"/>
  <c r="M48" i="1"/>
  <c r="M47" i="1"/>
  <c r="M46" i="1"/>
  <c r="M45" i="1"/>
  <c r="M42" i="1"/>
  <c r="M39" i="1"/>
  <c r="M38" i="1"/>
  <c r="M37" i="1"/>
  <c r="M36" i="1"/>
  <c r="M35" i="1"/>
  <c r="M34" i="1"/>
  <c r="M30" i="1"/>
  <c r="M18" i="1"/>
  <c r="M19" i="1"/>
  <c r="M17" i="1"/>
  <c r="M16" i="1"/>
  <c r="M15" i="1"/>
  <c r="M11" i="1"/>
  <c r="M10" i="1"/>
  <c r="M9" i="1"/>
  <c r="M8" i="1"/>
  <c r="M7" i="1"/>
  <c r="M56" i="1" l="1"/>
  <c r="M92" i="1"/>
  <c r="M97" i="1"/>
  <c r="M49" i="1"/>
  <c r="M40" i="1"/>
  <c r="M116" i="1"/>
  <c r="M141" i="1"/>
  <c r="M152" i="1"/>
  <c r="M161" i="1"/>
  <c r="M66" i="1"/>
  <c r="M20" i="1"/>
  <c r="M75" i="1"/>
  <c r="M106" i="1"/>
  <c r="M12" i="1"/>
  <c r="M87" i="1"/>
  <c r="M129" i="1"/>
  <c r="M21" i="1" l="1"/>
  <c r="M153" i="1"/>
  <c r="M76" i="1"/>
  <c r="M130" i="1"/>
  <c r="M163" i="1" l="1"/>
  <c r="M164" i="1" s="1"/>
  <c r="H112" i="1" l="1"/>
  <c r="H111" i="1"/>
  <c r="H100" i="1" l="1"/>
  <c r="H95" i="1"/>
  <c r="E76" i="20" l="1"/>
  <c r="H28" i="1"/>
  <c r="H26" i="1"/>
  <c r="H27" i="1"/>
  <c r="E81" i="20" l="1"/>
  <c r="K160" i="1"/>
  <c r="K159" i="1"/>
  <c r="K158" i="1"/>
  <c r="K157" i="1"/>
  <c r="K151" i="1"/>
  <c r="K150" i="1"/>
  <c r="K149" i="1"/>
  <c r="K148" i="1"/>
  <c r="K147" i="1"/>
  <c r="K146" i="1"/>
  <c r="K145" i="1"/>
  <c r="K144" i="1"/>
  <c r="K140" i="1"/>
  <c r="K139" i="1"/>
  <c r="K138" i="1"/>
  <c r="K137" i="1"/>
  <c r="K136" i="1"/>
  <c r="K135" i="1"/>
  <c r="K134" i="1"/>
  <c r="K128" i="1"/>
  <c r="K127" i="1"/>
  <c r="K126" i="1"/>
  <c r="K125" i="1"/>
  <c r="K122" i="1"/>
  <c r="K121" i="1"/>
  <c r="K120" i="1"/>
  <c r="K119" i="1"/>
  <c r="K115" i="1"/>
  <c r="K113" i="1"/>
  <c r="K112" i="1"/>
  <c r="K111" i="1"/>
  <c r="K110" i="1"/>
  <c r="K109" i="1"/>
  <c r="K105" i="1"/>
  <c r="K104" i="1"/>
  <c r="K103" i="1"/>
  <c r="K102" i="1"/>
  <c r="K101" i="1"/>
  <c r="K100" i="1"/>
  <c r="K96" i="1"/>
  <c r="K95" i="1"/>
  <c r="K91" i="1"/>
  <c r="K90" i="1"/>
  <c r="K86" i="1"/>
  <c r="K84" i="1"/>
  <c r="K83" i="1"/>
  <c r="K81" i="1"/>
  <c r="K80" i="1"/>
  <c r="K74" i="1"/>
  <c r="K73" i="1"/>
  <c r="K72" i="1"/>
  <c r="K71" i="1"/>
  <c r="K70" i="1"/>
  <c r="K69" i="1"/>
  <c r="K65" i="1"/>
  <c r="K64" i="1"/>
  <c r="K63" i="1"/>
  <c r="K62" i="1"/>
  <c r="K61" i="1"/>
  <c r="K58" i="1"/>
  <c r="K55" i="1"/>
  <c r="K54" i="1"/>
  <c r="K48" i="1"/>
  <c r="K47" i="1"/>
  <c r="K46" i="1"/>
  <c r="K45" i="1"/>
  <c r="K42" i="1"/>
  <c r="K39" i="1"/>
  <c r="K38" i="1"/>
  <c r="K37" i="1"/>
  <c r="K36" i="1"/>
  <c r="K35" i="1"/>
  <c r="K34" i="1"/>
  <c r="K30" i="1"/>
  <c r="K19" i="1"/>
  <c r="K18" i="1"/>
  <c r="K17" i="1"/>
  <c r="K16" i="1"/>
  <c r="K15" i="1"/>
  <c r="K8" i="1"/>
  <c r="K9" i="1"/>
  <c r="K10" i="1"/>
  <c r="K11" i="1"/>
  <c r="K7" i="1"/>
  <c r="N161" i="1"/>
  <c r="N152" i="1"/>
  <c r="N141" i="1"/>
  <c r="N129" i="1"/>
  <c r="N116" i="1"/>
  <c r="N106" i="1"/>
  <c r="N97" i="1"/>
  <c r="N92" i="1"/>
  <c r="N87" i="1"/>
  <c r="N75" i="1"/>
  <c r="N66" i="1"/>
  <c r="N56" i="1"/>
  <c r="N49" i="1"/>
  <c r="N40" i="1"/>
  <c r="N20" i="1"/>
  <c r="N12" i="1"/>
  <c r="N21" i="1" l="1"/>
  <c r="N153" i="1"/>
  <c r="N130" i="1"/>
  <c r="N76" i="1"/>
  <c r="N163" i="1" l="1"/>
  <c r="N164" i="1" s="1"/>
  <c r="O9" i="20" l="1"/>
  <c r="O57" i="20"/>
  <c r="O24" i="20"/>
  <c r="N55" i="20"/>
  <c r="N56" i="20"/>
  <c r="O56" i="20" s="1"/>
  <c r="N109" i="20"/>
  <c r="N111" i="20"/>
  <c r="O111" i="20" s="1"/>
  <c r="M69" i="20"/>
  <c r="M55" i="20"/>
  <c r="M56" i="20"/>
  <c r="M17" i="20"/>
  <c r="M20" i="20" s="1"/>
  <c r="M21" i="20" s="1"/>
  <c r="M109" i="20"/>
  <c r="M112" i="20"/>
  <c r="O112" i="20" s="1"/>
  <c r="M113" i="20" l="1"/>
  <c r="M60" i="20"/>
  <c r="M70" i="20" s="1"/>
  <c r="N69" i="20"/>
  <c r="N60" i="20"/>
  <c r="O55" i="20"/>
  <c r="N113" i="20"/>
  <c r="O109" i="20"/>
  <c r="O7" i="20"/>
  <c r="O12" i="20"/>
  <c r="M115" i="20" l="1"/>
  <c r="M116" i="20" s="1"/>
  <c r="O110" i="20"/>
  <c r="O113" i="20"/>
  <c r="O97" i="20"/>
  <c r="O89" i="20"/>
  <c r="O96" i="20" l="1"/>
  <c r="O15" i="20"/>
  <c r="O65" i="20"/>
  <c r="O59" i="20"/>
  <c r="O90" i="20"/>
  <c r="O98" i="20"/>
  <c r="O42" i="20"/>
  <c r="O52" i="20"/>
  <c r="O29" i="20"/>
  <c r="O102" i="20"/>
  <c r="O100" i="20"/>
  <c r="O99" i="20"/>
  <c r="O91" i="20"/>
  <c r="O88" i="20"/>
  <c r="O87" i="20"/>
  <c r="O33" i="20"/>
  <c r="O68" i="20"/>
  <c r="O67" i="20"/>
  <c r="O66" i="20"/>
  <c r="O64" i="20"/>
  <c r="O49" i="20"/>
  <c r="O41" i="20"/>
  <c r="O104" i="20" l="1"/>
  <c r="O86" i="20"/>
  <c r="O69" i="20"/>
  <c r="O63" i="20"/>
  <c r="O58" i="20"/>
  <c r="O60" i="20"/>
  <c r="O50" i="20"/>
  <c r="O48" i="20"/>
  <c r="O39" i="20"/>
  <c r="O28" i="20"/>
  <c r="N31" i="20"/>
  <c r="N19" i="20"/>
  <c r="O19" i="20" s="1"/>
  <c r="N17" i="20"/>
  <c r="O17" i="20" s="1"/>
  <c r="N18" i="20"/>
  <c r="O18" i="20" s="1"/>
  <c r="N16" i="20"/>
  <c r="N36" i="20"/>
  <c r="O36" i="20" s="1"/>
  <c r="N78" i="20" l="1"/>
  <c r="O78" i="20" s="1"/>
  <c r="N34" i="20"/>
  <c r="O31" i="20"/>
  <c r="N20" i="20"/>
  <c r="O16" i="20"/>
  <c r="O105" i="20"/>
  <c r="O93" i="20"/>
  <c r="O79" i="20"/>
  <c r="N70" i="20" l="1"/>
  <c r="O34" i="20"/>
  <c r="N21" i="20"/>
  <c r="O21" i="20" s="1"/>
  <c r="O20" i="20"/>
  <c r="O40" i="20"/>
  <c r="O43" i="20" l="1"/>
  <c r="O70" i="20"/>
  <c r="Q56" i="1" l="1"/>
  <c r="P56" i="1"/>
  <c r="K56" i="1"/>
  <c r="H56" i="1"/>
  <c r="R55" i="1"/>
  <c r="L55" i="1"/>
  <c r="J55" i="1"/>
  <c r="R54" i="1"/>
  <c r="L54" i="1"/>
  <c r="J54" i="1"/>
  <c r="L56" i="1" l="1"/>
  <c r="R56" i="1"/>
  <c r="J56" i="1"/>
  <c r="L126" i="1" l="1"/>
  <c r="J127" i="1"/>
  <c r="J100" i="1"/>
  <c r="J160" i="1"/>
  <c r="J159" i="1"/>
  <c r="J158" i="1"/>
  <c r="J157" i="1"/>
  <c r="J151" i="1"/>
  <c r="J150" i="1"/>
  <c r="J149" i="1"/>
  <c r="J148" i="1"/>
  <c r="J147" i="1"/>
  <c r="J146" i="1"/>
  <c r="J145" i="1"/>
  <c r="J144" i="1"/>
  <c r="J140" i="1"/>
  <c r="J139" i="1"/>
  <c r="J138" i="1"/>
  <c r="J137" i="1"/>
  <c r="J136" i="1"/>
  <c r="J135" i="1"/>
  <c r="J134" i="1"/>
  <c r="J128" i="1"/>
  <c r="J125" i="1"/>
  <c r="J122" i="1"/>
  <c r="J121" i="1"/>
  <c r="J120" i="1"/>
  <c r="J115" i="1"/>
  <c r="J111" i="1"/>
  <c r="J110" i="1"/>
  <c r="J109" i="1"/>
  <c r="J105" i="1"/>
  <c r="J104" i="1"/>
  <c r="J103" i="1"/>
  <c r="J102" i="1"/>
  <c r="J101" i="1"/>
  <c r="J96" i="1"/>
  <c r="J95" i="1"/>
  <c r="J91" i="1"/>
  <c r="J90" i="1"/>
  <c r="J86" i="1"/>
  <c r="J84" i="1"/>
  <c r="J81" i="1"/>
  <c r="J74" i="1"/>
  <c r="J73" i="1"/>
  <c r="J72" i="1"/>
  <c r="J71" i="1"/>
  <c r="J70" i="1"/>
  <c r="J69" i="1"/>
  <c r="J65" i="1"/>
  <c r="J64" i="1"/>
  <c r="J63" i="1"/>
  <c r="J62" i="1"/>
  <c r="J61" i="1"/>
  <c r="J58" i="1"/>
  <c r="J48" i="1"/>
  <c r="J47" i="1"/>
  <c r="J46" i="1"/>
  <c r="J45" i="1"/>
  <c r="J42" i="1"/>
  <c r="J39" i="1"/>
  <c r="J38" i="1"/>
  <c r="J37" i="1"/>
  <c r="J36" i="1"/>
  <c r="J35" i="1"/>
  <c r="J34" i="1"/>
  <c r="J19" i="1"/>
  <c r="J18" i="1"/>
  <c r="J17" i="1"/>
  <c r="J16" i="1"/>
  <c r="J15" i="1"/>
  <c r="J11" i="1"/>
  <c r="J10" i="1"/>
  <c r="J9" i="1"/>
  <c r="J8" i="1"/>
  <c r="J7" i="1"/>
  <c r="R7" i="1"/>
  <c r="R160" i="1"/>
  <c r="R159" i="1"/>
  <c r="R158" i="1"/>
  <c r="R157" i="1"/>
  <c r="R151" i="1"/>
  <c r="R150" i="1"/>
  <c r="R149" i="1"/>
  <c r="R148" i="1"/>
  <c r="R147" i="1"/>
  <c r="R146" i="1"/>
  <c r="R145" i="1"/>
  <c r="R144" i="1"/>
  <c r="R140" i="1"/>
  <c r="R139" i="1"/>
  <c r="R138" i="1"/>
  <c r="R137" i="1"/>
  <c r="R136" i="1"/>
  <c r="R135" i="1"/>
  <c r="R134" i="1"/>
  <c r="R128" i="1"/>
  <c r="R127" i="1"/>
  <c r="R126" i="1"/>
  <c r="R125" i="1"/>
  <c r="R122" i="1"/>
  <c r="R121" i="1"/>
  <c r="R120" i="1"/>
  <c r="R119" i="1"/>
  <c r="R115" i="1"/>
  <c r="R111" i="1"/>
  <c r="R110" i="1"/>
  <c r="R109" i="1"/>
  <c r="R105" i="1"/>
  <c r="R104" i="1"/>
  <c r="R103" i="1"/>
  <c r="R102" i="1"/>
  <c r="R101" i="1"/>
  <c r="R100" i="1"/>
  <c r="R96" i="1"/>
  <c r="R95" i="1"/>
  <c r="R91" i="1"/>
  <c r="R90" i="1"/>
  <c r="R86" i="1"/>
  <c r="R84" i="1"/>
  <c r="R83" i="1"/>
  <c r="R81" i="1"/>
  <c r="R74" i="1"/>
  <c r="R73" i="1"/>
  <c r="R72" i="1"/>
  <c r="R71" i="1"/>
  <c r="R70" i="1"/>
  <c r="R69" i="1"/>
  <c r="R65" i="1"/>
  <c r="R64" i="1"/>
  <c r="R63" i="1"/>
  <c r="R62" i="1"/>
  <c r="R61" i="1"/>
  <c r="R58" i="1"/>
  <c r="R48" i="1"/>
  <c r="R47" i="1"/>
  <c r="R46" i="1"/>
  <c r="R45" i="1"/>
  <c r="R42" i="1"/>
  <c r="R39" i="1"/>
  <c r="R38" i="1"/>
  <c r="R37" i="1"/>
  <c r="R36" i="1"/>
  <c r="R35" i="1"/>
  <c r="R34" i="1"/>
  <c r="R30" i="1"/>
  <c r="R19" i="1"/>
  <c r="R18" i="1"/>
  <c r="R17" i="1"/>
  <c r="R16" i="1"/>
  <c r="R15" i="1"/>
  <c r="R11" i="1"/>
  <c r="R10" i="1"/>
  <c r="R9" i="1"/>
  <c r="R8" i="1"/>
  <c r="Q12" i="1"/>
  <c r="Q20" i="1"/>
  <c r="Q40" i="1"/>
  <c r="Q49" i="1"/>
  <c r="Q66" i="1"/>
  <c r="Q75" i="1"/>
  <c r="Q92" i="1"/>
  <c r="Q97" i="1"/>
  <c r="Q106" i="1"/>
  <c r="Q129" i="1"/>
  <c r="Q141" i="1"/>
  <c r="Q152" i="1"/>
  <c r="Q161" i="1"/>
  <c r="P161" i="1"/>
  <c r="P152" i="1"/>
  <c r="P141" i="1"/>
  <c r="P129" i="1"/>
  <c r="P116" i="1"/>
  <c r="P106" i="1"/>
  <c r="P97" i="1"/>
  <c r="P92" i="1"/>
  <c r="P87" i="1"/>
  <c r="P75" i="1"/>
  <c r="P66" i="1"/>
  <c r="P49" i="1"/>
  <c r="P40" i="1"/>
  <c r="P20" i="1"/>
  <c r="P12" i="1"/>
  <c r="K161" i="1"/>
  <c r="H161" i="1"/>
  <c r="L160" i="1"/>
  <c r="L159" i="1"/>
  <c r="L158" i="1"/>
  <c r="L157" i="1"/>
  <c r="L150" i="1"/>
  <c r="K152" i="1"/>
  <c r="H152" i="1"/>
  <c r="L151" i="1"/>
  <c r="L149" i="1"/>
  <c r="L148" i="1"/>
  <c r="L147" i="1"/>
  <c r="L146" i="1"/>
  <c r="L145" i="1"/>
  <c r="L144" i="1"/>
  <c r="K141" i="1"/>
  <c r="H141" i="1"/>
  <c r="L140" i="1"/>
  <c r="L139" i="1"/>
  <c r="L138" i="1"/>
  <c r="L137" i="1"/>
  <c r="L136" i="1"/>
  <c r="L135" i="1"/>
  <c r="L134" i="1"/>
  <c r="L125" i="1"/>
  <c r="L128" i="1"/>
  <c r="K129" i="1"/>
  <c r="L122" i="1"/>
  <c r="L121" i="1"/>
  <c r="L120" i="1"/>
  <c r="K116" i="1"/>
  <c r="L115" i="1"/>
  <c r="L111" i="1"/>
  <c r="L110" i="1"/>
  <c r="L109" i="1"/>
  <c r="L104" i="1"/>
  <c r="K106" i="1"/>
  <c r="H106" i="1"/>
  <c r="L105" i="1"/>
  <c r="L103" i="1"/>
  <c r="L102" i="1"/>
  <c r="L101" i="1"/>
  <c r="K97" i="1"/>
  <c r="H97" i="1"/>
  <c r="L96" i="1"/>
  <c r="L95" i="1"/>
  <c r="K92" i="1"/>
  <c r="H92" i="1"/>
  <c r="L91" i="1"/>
  <c r="L90" i="1"/>
  <c r="K87" i="1"/>
  <c r="L86" i="1"/>
  <c r="L84" i="1"/>
  <c r="L81" i="1"/>
  <c r="L72" i="1"/>
  <c r="L73" i="1"/>
  <c r="K75" i="1"/>
  <c r="H75" i="1"/>
  <c r="L74" i="1"/>
  <c r="L71" i="1"/>
  <c r="L70" i="1"/>
  <c r="L69" i="1"/>
  <c r="L63" i="1"/>
  <c r="L64" i="1"/>
  <c r="K66" i="1"/>
  <c r="H66" i="1"/>
  <c r="L65" i="1"/>
  <c r="L62" i="1"/>
  <c r="L61" i="1"/>
  <c r="L58" i="1"/>
  <c r="K49" i="1"/>
  <c r="H49" i="1"/>
  <c r="L48" i="1"/>
  <c r="L47" i="1"/>
  <c r="L46" i="1"/>
  <c r="L45" i="1"/>
  <c r="L42" i="1"/>
  <c r="L39" i="1"/>
  <c r="L38" i="1"/>
  <c r="L37" i="1"/>
  <c r="L36" i="1"/>
  <c r="L35" i="1"/>
  <c r="L34" i="1"/>
  <c r="K40" i="1"/>
  <c r="H40" i="1"/>
  <c r="L19" i="1"/>
  <c r="L18" i="1"/>
  <c r="L17" i="1"/>
  <c r="L16" i="1"/>
  <c r="L15" i="1"/>
  <c r="L11" i="1"/>
  <c r="L10" i="1"/>
  <c r="L9" i="1"/>
  <c r="L8" i="1"/>
  <c r="L7" i="1"/>
  <c r="K20" i="1"/>
  <c r="H20" i="1"/>
  <c r="H12" i="1"/>
  <c r="K12" i="1"/>
  <c r="H76" i="1" l="1"/>
  <c r="K76" i="1"/>
  <c r="Q76" i="1"/>
  <c r="P76" i="1"/>
  <c r="J126" i="1"/>
  <c r="L127" i="1"/>
  <c r="J66" i="1"/>
  <c r="J75" i="1"/>
  <c r="J97" i="1"/>
  <c r="J40" i="1"/>
  <c r="J20" i="1"/>
  <c r="K153" i="1"/>
  <c r="P21" i="1"/>
  <c r="J161" i="1"/>
  <c r="J152" i="1"/>
  <c r="R97" i="1"/>
  <c r="R66" i="1"/>
  <c r="R20" i="1"/>
  <c r="J12" i="1"/>
  <c r="J49" i="1"/>
  <c r="J106" i="1"/>
  <c r="R49" i="1"/>
  <c r="R129" i="1"/>
  <c r="R92" i="1"/>
  <c r="R12" i="1"/>
  <c r="J141" i="1"/>
  <c r="R161" i="1"/>
  <c r="J92" i="1"/>
  <c r="R141" i="1"/>
  <c r="R152" i="1"/>
  <c r="R106" i="1"/>
  <c r="R75" i="1"/>
  <c r="R40" i="1"/>
  <c r="L100" i="1"/>
  <c r="Q153" i="1"/>
  <c r="Q21" i="1"/>
  <c r="P153" i="1"/>
  <c r="H153" i="1"/>
  <c r="P130" i="1"/>
  <c r="L161" i="1"/>
  <c r="L152" i="1"/>
  <c r="L141" i="1"/>
  <c r="K130" i="1"/>
  <c r="L97" i="1"/>
  <c r="L106" i="1"/>
  <c r="H21" i="1"/>
  <c r="H25" i="1" s="1"/>
  <c r="H29" i="1" s="1"/>
  <c r="L92" i="1"/>
  <c r="L20" i="1"/>
  <c r="L75" i="1"/>
  <c r="L66" i="1"/>
  <c r="K21" i="1"/>
  <c r="L49" i="1"/>
  <c r="L40" i="1"/>
  <c r="L12" i="1"/>
  <c r="K163" i="1" l="1"/>
  <c r="K164" i="1" s="1"/>
  <c r="R21" i="1"/>
  <c r="P163" i="1"/>
  <c r="P164" i="1" s="1"/>
  <c r="J21" i="1"/>
  <c r="J153" i="1"/>
  <c r="R76" i="1"/>
  <c r="R153" i="1"/>
  <c r="L153" i="1"/>
  <c r="L21" i="1"/>
  <c r="H30" i="1" l="1"/>
  <c r="L76" i="1"/>
  <c r="J76" i="1"/>
  <c r="L30" i="1" l="1"/>
  <c r="E24" i="20"/>
  <c r="J30" i="1"/>
  <c r="L119" i="1"/>
  <c r="J119" i="1"/>
  <c r="L129" i="1"/>
  <c r="G24" i="20" l="1"/>
  <c r="E115" i="20"/>
  <c r="E116" i="20" s="1"/>
  <c r="J129" i="1"/>
  <c r="J80" i="1" l="1"/>
  <c r="L80" i="1"/>
  <c r="L83" i="1" l="1"/>
  <c r="J83" i="1"/>
  <c r="H87" i="1"/>
  <c r="L87" i="1" l="1"/>
  <c r="J87" i="1"/>
  <c r="Q87" i="1" l="1"/>
  <c r="R80" i="1"/>
  <c r="R87" i="1" l="1"/>
  <c r="J113" i="1" l="1"/>
  <c r="L113" i="1"/>
  <c r="L112" i="1"/>
  <c r="J112" i="1"/>
  <c r="H116" i="1"/>
  <c r="F74" i="20" l="1"/>
  <c r="L116" i="1"/>
  <c r="H130" i="1"/>
  <c r="J130" i="1" s="1"/>
  <c r="J116" i="1"/>
  <c r="F76" i="20" l="1"/>
  <c r="G76" i="20" s="1"/>
  <c r="G74" i="20"/>
  <c r="R113" i="1"/>
  <c r="L130" i="1"/>
  <c r="H163" i="1"/>
  <c r="H164" i="1" s="1"/>
  <c r="F81" i="20" l="1"/>
  <c r="G81" i="20" s="1"/>
  <c r="L163" i="1"/>
  <c r="L164" i="1"/>
  <c r="J163" i="1"/>
  <c r="Q116" i="1"/>
  <c r="R112" i="1"/>
  <c r="N74" i="20" s="1"/>
  <c r="N76" i="20" s="1"/>
  <c r="N81" i="20" l="1"/>
  <c r="N115" i="20" s="1"/>
  <c r="N116" i="20" s="1"/>
  <c r="O76" i="20"/>
  <c r="O74" i="20"/>
  <c r="F115" i="20"/>
  <c r="F116" i="20" s="1"/>
  <c r="R116" i="1"/>
  <c r="Q130" i="1"/>
  <c r="G115" i="20" l="1"/>
  <c r="O81" i="20"/>
  <c r="O116" i="20"/>
  <c r="O115" i="20"/>
  <c r="Q163" i="1"/>
  <c r="R130" i="1"/>
  <c r="R163" i="1" l="1"/>
  <c r="Q164" i="1"/>
  <c r="R164" i="1" s="1"/>
</calcChain>
</file>

<file path=xl/comments1.xml><?xml version="1.0" encoding="utf-8"?>
<comments xmlns="http://schemas.openxmlformats.org/spreadsheetml/2006/main">
  <authors>
    <author>Jacobson, Dawn M.</author>
  </authors>
  <commentList>
    <comment ref="E78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Calc from Cheryl:
$17,880 Health
10% Pension
2.5% Disability
.8% Life
.7% Retiree Support</t>
        </r>
      </text>
    </comment>
  </commentList>
</comments>
</file>

<file path=xl/comments2.xml><?xml version="1.0" encoding="utf-8"?>
<comments xmlns="http://schemas.openxmlformats.org/spreadsheetml/2006/main">
  <authors>
    <author>Jacobson, Dawn M.</author>
  </authors>
  <commentList>
    <comment ref="H82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Calc from Cheryl:
$17,880 Health
10% Pension
2.5% Disability
.8% Life
.7% Retiree Support</t>
        </r>
      </text>
    </comment>
    <comment ref="H83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Calc from Cheryl:
$17,880 Health
10% Pension
2.5% Disability
.8% Life
.7% Retiree Support</t>
        </r>
      </text>
    </comment>
    <comment ref="H101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Calc from Cheryl</t>
        </r>
      </text>
    </comment>
  </commentList>
</comments>
</file>

<file path=xl/sharedStrings.xml><?xml version="1.0" encoding="utf-8"?>
<sst xmlns="http://schemas.openxmlformats.org/spreadsheetml/2006/main" count="403" uniqueCount="250">
  <si>
    <t>Income</t>
  </si>
  <si>
    <t>Envelope Giving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</si>
  <si>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</si>
  <si>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</si>
  <si>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</si>
  <si>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</si>
  <si>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</si>
  <si>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</si>
  <si>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</si>
  <si>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</si>
  <si>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Total Misc Income</t>
  </si>
  <si>
    <t>Current Investment Income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</si>
  <si>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</si>
  <si>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</si>
  <si>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</si>
  <si>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</si>
  <si>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</si>
  <si>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</si>
  <si>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</si>
  <si>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</si>
  <si>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</si>
  <si>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</si>
  <si>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</si>
  <si>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</si>
  <si>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PACE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</si>
  <si>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</si>
  <si>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</si>
  <si>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</si>
  <si>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</si>
  <si>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</si>
  <si>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</si>
  <si>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</si>
  <si>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</si>
  <si>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</si>
  <si>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</si>
  <si>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</si>
  <si>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</si>
  <si>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</si>
  <si>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</si>
  <si>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</si>
  <si>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</si>
  <si>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</si>
  <si>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</si>
  <si>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Office Equipment/Computer</t>
  </si>
  <si>
    <t>Kitchen Supplies</t>
  </si>
  <si>
    <t>Bank Fees</t>
  </si>
  <si>
    <t>STAFF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</si>
  <si>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</si>
  <si>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</si>
  <si>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</si>
  <si>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</si>
  <si>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</si>
  <si>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</si>
  <si>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</si>
  <si>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</si>
  <si>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</si>
  <si>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</si>
  <si>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</si>
  <si>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</si>
  <si>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</si>
  <si>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</si>
  <si>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</si>
  <si>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</si>
  <si>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</si>
  <si>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</si>
  <si>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</si>
  <si>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</si>
  <si>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</si>
  <si>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</si>
  <si>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Total Music Staff</t>
  </si>
  <si>
    <t>Other Staff</t>
  </si>
  <si>
    <t>Total Other Staff</t>
  </si>
  <si>
    <t>Custodians</t>
  </si>
  <si>
    <t>Staff Development</t>
  </si>
  <si>
    <t>Church - FICA/MED</t>
  </si>
  <si>
    <t>Workers Compensation</t>
  </si>
  <si>
    <t>Supply Pastor Expenses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</si>
  <si>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</si>
  <si>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</si>
  <si>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</si>
  <si>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</si>
  <si>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</si>
  <si>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</si>
  <si>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</si>
  <si>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</si>
  <si>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</si>
  <si>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</si>
  <si>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Total Utilities</t>
  </si>
  <si>
    <t>Church Maintenance</t>
  </si>
  <si>
    <t>Insurance</t>
  </si>
  <si>
    <t>Snow Removal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</si>
  <si>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</si>
  <si>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</si>
  <si>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</si>
  <si>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</si>
  <si>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</si>
  <si>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</si>
  <si>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</si>
  <si>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</si>
  <si>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</si>
  <si>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</si>
  <si>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</si>
  <si>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</si>
  <si>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</si>
  <si>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</si>
  <si>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</si>
  <si>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Sunday School</t>
  </si>
  <si>
    <t>Actual vs Budget</t>
  </si>
  <si>
    <t>Full Year</t>
  </si>
  <si>
    <t>Lutheran Church of the Resurrection</t>
  </si>
  <si>
    <t>Cradle Roll</t>
  </si>
  <si>
    <t>Parish Secretary (full time)</t>
  </si>
  <si>
    <t>TOTAL PROGRAMS</t>
  </si>
  <si>
    <t>Total Church Membership</t>
  </si>
  <si>
    <t>Sunday Coffee</t>
  </si>
  <si>
    <t>Hold at 10%</t>
  </si>
  <si>
    <t>Benevolence</t>
  </si>
  <si>
    <t>10% Benevolence</t>
  </si>
  <si>
    <t>Per Cheryl:  ELC Board of Pensions</t>
  </si>
  <si>
    <t>Church Membership</t>
  </si>
  <si>
    <t>Clearing Account</t>
  </si>
  <si>
    <t>Church Membership Activities</t>
  </si>
  <si>
    <t>Advertising-Media (Newspaper)</t>
  </si>
  <si>
    <t>Financial Secretary</t>
  </si>
  <si>
    <t>Month</t>
  </si>
  <si>
    <t>Current Year</t>
  </si>
  <si>
    <t>January = 1</t>
  </si>
  <si>
    <t>$55.30/week plus monthly fee for alarm</t>
  </si>
  <si>
    <t>NA</t>
  </si>
  <si>
    <t>Maint.  Supplies</t>
  </si>
  <si>
    <t>Salary Calc Estimate</t>
  </si>
  <si>
    <t>17 hours/week for 52 weeks</t>
  </si>
  <si>
    <r>
      <rPr>
        <b/>
        <sz val="11"/>
        <color theme="3" tint="0.39997558519241921"/>
        <rFont val="Calibri"/>
        <family val="2"/>
        <scheme val="minor"/>
      </rPr>
      <t>2011</t>
    </r>
    <r>
      <rPr>
        <b/>
        <sz val="11"/>
        <color theme="1"/>
        <rFont val="Calibri"/>
        <family val="2"/>
        <scheme val="minor"/>
      </rPr>
      <t xml:space="preserve"> Actual</t>
    </r>
  </si>
  <si>
    <t>2010 Actual</t>
  </si>
  <si>
    <t>Staff Contingency</t>
  </si>
  <si>
    <t>2015 Budget</t>
  </si>
  <si>
    <r>
      <rPr>
        <b/>
        <sz val="11"/>
        <color theme="3" tint="0.39997558519241921"/>
        <rFont val="Calibri"/>
        <family val="2"/>
        <scheme val="minor"/>
      </rPr>
      <t>2013</t>
    </r>
    <r>
      <rPr>
        <b/>
        <sz val="11"/>
        <color theme="1"/>
        <rFont val="Calibri"/>
        <family val="2"/>
        <scheme val="minor"/>
      </rPr>
      <t xml:space="preserve"> Prior Year Actual</t>
    </r>
  </si>
  <si>
    <t>2015 Budget vs Prior Year</t>
  </si>
  <si>
    <t>Pamphlet created in 2014</t>
  </si>
  <si>
    <t>Flutist</t>
  </si>
  <si>
    <t>Must submit mileage</t>
  </si>
  <si>
    <t>Estimate:  20 years experience and 50 years old</t>
  </si>
  <si>
    <t>Per Cheryl</t>
  </si>
  <si>
    <t>No longer needs this but will increase other benefits/insurance</t>
  </si>
  <si>
    <t>Use any excess to start paying off line of credit</t>
  </si>
  <si>
    <t>Requested $1278 less reimbursement from parents</t>
  </si>
  <si>
    <t>Requested $500</t>
  </si>
  <si>
    <t>Requested $1,566 (Additional $50 for crafts and $150 for curriculum materials</t>
  </si>
  <si>
    <t>Total Requested was $7,518</t>
  </si>
  <si>
    <t>Requested $500 but just order this year so should need more than $400</t>
  </si>
  <si>
    <t>Requested $3,534.  Increase due to $500 for Sunday School Superintendent thank you.</t>
  </si>
  <si>
    <t>Books &amp; study materials</t>
  </si>
  <si>
    <t>Requested $140</t>
  </si>
  <si>
    <t>Requested $5,200 with no back up information.  Herk/Mike Dry Sound ($20/service) - $2520 through October, Microphone batteries ($200), Christ in our home ($700), Video and Song Licenses ($250), Bubbles</t>
  </si>
  <si>
    <t>Requested $1,300 with no back up information</t>
  </si>
  <si>
    <t>Requested $800 with no back up information</t>
  </si>
  <si>
    <t>Requested $200 with no back up information</t>
  </si>
  <si>
    <t>Total Requested $7,500</t>
  </si>
  <si>
    <t>Requested $200 - this is for the interfaith coalition advertising cost</t>
  </si>
  <si>
    <t>Janice/Pastor/Dori/and? $225/month</t>
  </si>
  <si>
    <t>New Rate for the increased coverage</t>
  </si>
  <si>
    <t>Maintenance Contracts</t>
  </si>
  <si>
    <t>Facilites has requested funding for several projects.  Extra $ is needed to support these.</t>
  </si>
  <si>
    <t>Other Benefits and taxes</t>
  </si>
  <si>
    <t>Non Staff costs</t>
  </si>
  <si>
    <t>Increase for Staff</t>
  </si>
  <si>
    <t>Increase for Music</t>
  </si>
  <si>
    <t>$498 per month for Phones, Internet, Fax Machine</t>
  </si>
  <si>
    <t>$1,200 for Joe and then $300 for others to cover off weeks, $2,870 for Media</t>
  </si>
  <si>
    <t>Projection and Media Development</t>
  </si>
  <si>
    <t>Projection and Media Develment</t>
  </si>
  <si>
    <t>NOTE:  Any additional funds throughout the year will go 1/2 to Facilities fund and 1/2 to pay off the line of credit.</t>
  </si>
  <si>
    <t xml:space="preserve">Staff/Music Salary (Current </t>
  </si>
  <si>
    <t xml:space="preserve">      plus estimated pastor salary)</t>
  </si>
  <si>
    <t xml:space="preserve">Salary increase:  2.0% increase
       excluding new pastor (Distribution </t>
  </si>
  <si>
    <t xml:space="preserve">      based on performance reviews)</t>
  </si>
  <si>
    <t>Staff</t>
  </si>
  <si>
    <t>Total Staff</t>
  </si>
  <si>
    <t>City Assessment</t>
  </si>
  <si>
    <t>Recommend aggregating salaries as the Synod and other churches do</t>
  </si>
  <si>
    <t>Needs to be decided by Council or Finance Committee if Gift Cards Paid Staff including Custodians (Monday Staff Meetings and Revalation Band).  Added $200 for staff lunch for John's Retirement in Jan/Feb 2015.  This should be removed for 2016 budget.</t>
  </si>
  <si>
    <t>2016 Budget</t>
  </si>
  <si>
    <t>2016 Budget vs 2015 Budget</t>
  </si>
  <si>
    <t>2015 Year to Date (YTD)</t>
  </si>
  <si>
    <t>Same as 2015 budget</t>
  </si>
  <si>
    <t>Same as 2015</t>
  </si>
  <si>
    <t>This is an assessment for the parking lot</t>
  </si>
  <si>
    <t>Same as 2015:  Recycle, Garbage, Fire Extinquishers, Elevator, Phone lines, pest control</t>
  </si>
  <si>
    <t>Saturday Nite Services</t>
  </si>
  <si>
    <t>Tax Allowance</t>
  </si>
  <si>
    <t>$1,000/Month in second 1/2 of 2015 and $1,500/month for 2016</t>
  </si>
  <si>
    <t>Communications Director</t>
  </si>
  <si>
    <t>Requesting $400</t>
  </si>
  <si>
    <t>Who is handling this?</t>
  </si>
  <si>
    <t>3.0% increase over 2015 budget</t>
  </si>
  <si>
    <t>Youth Choir Accompianist</t>
  </si>
  <si>
    <t>August YTD Actual</t>
  </si>
  <si>
    <t>August YTD Budget</t>
  </si>
  <si>
    <t>Increase 1% from 2015 budget</t>
  </si>
  <si>
    <t xml:space="preserve"> 2016 Budget Notes</t>
  </si>
  <si>
    <t xml:space="preserve"> 2015 Budget Notes</t>
  </si>
  <si>
    <t>Same as 2014 budget</t>
  </si>
  <si>
    <t>Paper, Pens, bulletin covers for funeral services - 
QUESTON:  Why is is so high through August?</t>
  </si>
  <si>
    <t>Lease payments $484 x2 x month plus copy costs
QUESTION:  What is driving higher costs this year?</t>
  </si>
  <si>
    <t>QUESTON:  Kim, please provide an estimate (from ELC Board of Pensions)</t>
  </si>
  <si>
    <t>QUESTON:  Kim, please provide an estimate</t>
  </si>
  <si>
    <t>Reduced 1.0% from 2014 budget due to pledge and 2014 trends.</t>
  </si>
  <si>
    <t>Budget to send 4 at $200 each to Carthage in 2015</t>
  </si>
  <si>
    <t>Paper, Pens, bulletin covers for funeral services</t>
  </si>
  <si>
    <t>Same as 2014</t>
  </si>
  <si>
    <t xml:space="preserve">Lease payments $484 x2 x month plus copy costs </t>
  </si>
  <si>
    <t>2.0% increase over 2014 budget</t>
  </si>
  <si>
    <t>Flutist $200/month - same as 2014</t>
  </si>
  <si>
    <t>2.5% increase over 2014 budget</t>
  </si>
  <si>
    <t>Staff meeting lunches</t>
  </si>
  <si>
    <t>Estimate from Cheryl</t>
  </si>
  <si>
    <t>$913/Month for 2014 plus more for extra cold weather</t>
  </si>
  <si>
    <t>This an assessment for the parking lot</t>
  </si>
  <si>
    <t>Same as 2014:  Recycle, Garbage, Fire Extinquishers, Elevator, Phone lines, pest control</t>
  </si>
  <si>
    <t>No change.  Mortgage ends in 2016</t>
  </si>
  <si>
    <t>The roof loan:  the interest payment is $137.50/month per Cheryl</t>
  </si>
  <si>
    <r>
      <rPr>
        <b/>
        <sz val="11"/>
        <rFont val="Calibri"/>
        <family val="2"/>
        <scheme val="minor"/>
      </rPr>
      <t xml:space="preserve">QUESTION: </t>
    </r>
    <r>
      <rPr>
        <sz val="11"/>
        <rFont val="Calibri"/>
        <family val="2"/>
        <scheme val="minor"/>
      </rPr>
      <t xml:space="preserve"> Need to know where this will be in 2016</t>
    </r>
  </si>
  <si>
    <t>QUESTION:  Were there more mailings?  In first quarter?</t>
  </si>
  <si>
    <t>QUESTION:  Kim, please provide an estimate</t>
  </si>
  <si>
    <t>Increased to support the new visitation role Janice will be doing</t>
  </si>
  <si>
    <t>1% (not 3% to cover Youth Choir Accompianist)</t>
  </si>
  <si>
    <t>New in 2016 - $100 per month for practise sessions</t>
  </si>
  <si>
    <t>Flutist $200/month - same as 2015
QUESTON:  Why only $400 through August 2015?</t>
  </si>
  <si>
    <t>Assumes 17 hrs/week for 52 Weeks at $14.28/hour
QUESTION:  Confirm hours and rate</t>
  </si>
  <si>
    <t>Staff Gift Cards at Christmas</t>
  </si>
  <si>
    <t>Includes Travel
QUESTON:  Pastor, what is the expected salary and travel for this position?</t>
  </si>
  <si>
    <t>QUESTON:  What is the hours/week and rate per hour?</t>
  </si>
  <si>
    <t>QUESTON:  Kim, please provide an estimate.</t>
  </si>
  <si>
    <t>$150 for Sunday or $200 for Saturday (backup Pastor)</t>
  </si>
  <si>
    <t>$913/Month for 2015 plus more for extra cold weather (same as 2015)</t>
  </si>
  <si>
    <t>$498 per month for Phones, Internet, Fax Machine (same as 2015)</t>
  </si>
  <si>
    <t>QUESTION:  Kim, can you provide an estimate?</t>
  </si>
  <si>
    <t>QUESTION:  What is the expected cost with the new card system?</t>
  </si>
  <si>
    <t>QUESTON:  Need Final estimate from Kim</t>
  </si>
  <si>
    <t>Use any excess to pay off line of credit and build a facilities fund</t>
  </si>
  <si>
    <t>Use any excess to pay off line of credit and build a facilities fund
QUESTON:  Kim, what is the balance at end of December for the Line of credit?</t>
  </si>
  <si>
    <t>Continuing Education and Synod meetings</t>
  </si>
  <si>
    <t>Per Letter of Call</t>
  </si>
  <si>
    <t>Per Letter of Call - Paid per milage submitted</t>
  </si>
  <si>
    <t>Business Expenses</t>
  </si>
  <si>
    <t>Staff meeting lunches - Moved to under Pastor per Letter of Call</t>
  </si>
  <si>
    <t>Requested $400:  Includes $350 for deposit but having at the church this year so why?</t>
  </si>
  <si>
    <t>Same as 2015
QUESTION:  Why nothing paid this year to date yet?</t>
  </si>
  <si>
    <t>Mission Chaparon Fees $3,000 and $7000 Youth costs</t>
  </si>
  <si>
    <t>Increase for Communion each week but reduced for no bubbles.
QUESTION:  What should be the budget?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</si>
</sst>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8F8F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4" fontId="4" fillId="8" borderId="0" xfId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64" fontId="0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165" fontId="2" fillId="4" borderId="0" xfId="2" applyNumberFormat="1" applyFont="1" applyFill="1" applyAlignment="1">
      <alignment horizontal="left" vertical="center"/>
    </xf>
    <xf numFmtId="9" fontId="9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2" fillId="3" borderId="0" xfId="1" applyNumberFormat="1" applyFont="1" applyFill="1" applyAlignment="1">
      <alignment vertical="center"/>
    </xf>
    <xf numFmtId="164" fontId="9" fillId="0" borderId="0" xfId="1" applyNumberFormat="1" applyFont="1" applyAlignment="1">
      <alignment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44" fontId="9" fillId="0" borderId="0" xfId="1" applyNumberFormat="1" applyFont="1" applyAlignment="1">
      <alignment vertical="center"/>
    </xf>
    <xf numFmtId="0" fontId="11" fillId="0" borderId="0" xfId="0" applyFont="1"/>
    <xf numFmtId="0" fontId="12" fillId="2" borderId="0" xfId="0" applyFont="1" applyFill="1" applyAlignment="1">
      <alignment horizontal="center"/>
    </xf>
    <xf numFmtId="37" fontId="0" fillId="0" borderId="0" xfId="3" applyNumberFormat="1" applyFont="1" applyAlignment="1">
      <alignment horizontal="center" vertical="center"/>
    </xf>
    <xf numFmtId="37" fontId="2" fillId="0" borderId="0" xfId="3" applyNumberFormat="1" applyFont="1" applyAlignment="1">
      <alignment horizontal="center" vertical="center"/>
    </xf>
    <xf numFmtId="164" fontId="10" fillId="8" borderId="0" xfId="1" applyNumberFormat="1" applyFont="1" applyFill="1" applyAlignment="1">
      <alignment vertical="center"/>
    </xf>
    <xf numFmtId="164" fontId="10" fillId="3" borderId="0" xfId="1" applyNumberFormat="1" applyFont="1" applyFill="1" applyAlignment="1">
      <alignment vertical="center"/>
    </xf>
    <xf numFmtId="164" fontId="9" fillId="3" borderId="0" xfId="1" applyNumberFormat="1" applyFont="1" applyFill="1" applyAlignment="1">
      <alignment vertical="center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left" vertical="center" wrapText="1"/>
    </xf>
    <xf numFmtId="165" fontId="14" fillId="7" borderId="0" xfId="2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vertical="center"/>
    </xf>
    <xf numFmtId="9" fontId="0" fillId="0" borderId="0" xfId="2" applyFont="1" applyAlignment="1">
      <alignment vertical="center"/>
    </xf>
    <xf numFmtId="165" fontId="0" fillId="0" borderId="0" xfId="2" applyNumberFormat="1" applyFont="1" applyAlignment="1">
      <alignment vertical="center"/>
    </xf>
    <xf numFmtId="166" fontId="0" fillId="0" borderId="0" xfId="1" applyNumberFormat="1" applyFont="1" applyAlignment="1">
      <alignment vertical="center"/>
    </xf>
    <xf numFmtId="43" fontId="0" fillId="0" borderId="0" xfId="3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15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" fontId="2" fillId="7" borderId="2" xfId="1" applyNumberFormat="1" applyFont="1" applyFill="1" applyBorder="1" applyAlignment="1">
      <alignment vertical="center"/>
    </xf>
    <xf numFmtId="1" fontId="2" fillId="7" borderId="3" xfId="1" applyNumberFormat="1" applyFont="1" applyFill="1" applyBorder="1" applyAlignment="1">
      <alignment vertical="center"/>
    </xf>
    <xf numFmtId="164" fontId="2" fillId="9" borderId="0" xfId="1" applyNumberFormat="1" applyFont="1" applyFill="1" applyAlignment="1">
      <alignment horizontal="left" vertical="center" wrapText="1"/>
    </xf>
    <xf numFmtId="165" fontId="17" fillId="9" borderId="0" xfId="2" applyNumberFormat="1" applyFont="1" applyFill="1" applyAlignment="1">
      <alignment horizontal="right" vertical="center" wrapText="1"/>
    </xf>
    <xf numFmtId="164" fontId="18" fillId="0" borderId="0" xfId="1" applyNumberFormat="1" applyFont="1" applyAlignment="1">
      <alignment vertical="center"/>
    </xf>
    <xf numFmtId="164" fontId="16" fillId="0" borderId="0" xfId="1" applyNumberFormat="1" applyFont="1" applyAlignment="1">
      <alignment horizontal="center" vertical="center" wrapText="1"/>
    </xf>
    <xf numFmtId="164" fontId="14" fillId="0" borderId="0" xfId="1" applyNumberFormat="1" applyFont="1" applyAlignment="1">
      <alignment horizontal="center" vertical="center" wrapText="1"/>
    </xf>
    <xf numFmtId="164" fontId="16" fillId="0" borderId="0" xfId="1" applyNumberFormat="1" applyFont="1" applyFill="1" applyAlignment="1">
      <alignment horizontal="center" vertical="center" wrapText="1"/>
    </xf>
    <xf numFmtId="164" fontId="15" fillId="0" borderId="0" xfId="1" applyNumberFormat="1" applyFont="1" applyAlignment="1">
      <alignment horizontal="right" vertical="center"/>
    </xf>
    <xf numFmtId="164" fontId="17" fillId="8" borderId="0" xfId="1" applyNumberFormat="1" applyFont="1" applyFill="1" applyAlignment="1">
      <alignment vertical="center"/>
    </xf>
    <xf numFmtId="164" fontId="9" fillId="0" borderId="0" xfId="1" applyNumberFormat="1" applyFont="1" applyAlignment="1">
      <alignment horizontal="center" vertical="center" wrapText="1"/>
    </xf>
    <xf numFmtId="164" fontId="3" fillId="2" borderId="0" xfId="1" applyNumberFormat="1" applyFont="1" applyFill="1" applyAlignment="1">
      <alignment vertical="center"/>
    </xf>
    <xf numFmtId="164" fontId="9" fillId="2" borderId="0" xfId="1" applyNumberFormat="1" applyFont="1" applyFill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 wrapText="1"/>
    </xf>
    <xf numFmtId="164" fontId="9" fillId="0" borderId="0" xfId="1" applyNumberFormat="1" applyFont="1" applyFill="1" applyAlignment="1">
      <alignment horizontal="center" vertical="center" wrapText="1"/>
    </xf>
    <xf numFmtId="164" fontId="9" fillId="0" borderId="0" xfId="1" quotePrefix="1" applyNumberFormat="1" applyFont="1" applyAlignment="1">
      <alignment horizontal="center" vertical="center" wrapText="1"/>
    </xf>
    <xf numFmtId="164" fontId="9" fillId="10" borderId="0" xfId="1" applyNumberFormat="1" applyFont="1" applyFill="1" applyAlignment="1">
      <alignment horizontal="center" vertical="center" wrapText="1"/>
    </xf>
    <xf numFmtId="164" fontId="9" fillId="2" borderId="0" xfId="1" quotePrefix="1" applyNumberFormat="1" applyFont="1" applyFill="1" applyAlignment="1">
      <alignment horizontal="center" vertical="center" wrapText="1"/>
    </xf>
    <xf numFmtId="164" fontId="17" fillId="3" borderId="0" xfId="1" applyNumberFormat="1" applyFont="1" applyFill="1" applyAlignment="1">
      <alignment vertical="center"/>
    </xf>
    <xf numFmtId="164" fontId="17" fillId="0" borderId="9" xfId="1" applyNumberFormat="1" applyFont="1" applyBorder="1" applyAlignment="1">
      <alignment horizontal="center" vertical="center" wrapText="1"/>
    </xf>
    <xf numFmtId="164" fontId="17" fillId="0" borderId="8" xfId="1" applyNumberFormat="1" applyFont="1" applyBorder="1" applyAlignment="1">
      <alignment horizontal="center" vertical="center" wrapText="1"/>
    </xf>
    <xf numFmtId="164" fontId="17" fillId="0" borderId="10" xfId="1" applyNumberFormat="1" applyFont="1" applyBorder="1" applyAlignment="1">
      <alignment horizontal="center"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164" fontId="17" fillId="0" borderId="2" xfId="1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left" vertical="center" wrapText="1"/>
    </xf>
    <xf numFmtId="1" fontId="2" fillId="7" borderId="1" xfId="1" applyNumberFormat="1" applyFont="1" applyFill="1" applyBorder="1" applyAlignment="1">
      <alignment horizontal="center" vertical="center"/>
    </xf>
    <xf numFmtId="1" fontId="2" fillId="7" borderId="2" xfId="1" applyNumberFormat="1" applyFont="1" applyFill="1" applyBorder="1" applyAlignment="1">
      <alignment horizontal="center" vertical="center"/>
    </xf>
    <xf numFmtId="1" fontId="2" fillId="7" borderId="3" xfId="1" applyNumberFormat="1" applyFont="1" applyFill="1" applyBorder="1" applyAlignment="1">
      <alignment horizontal="center" vertical="center"/>
    </xf>
    <xf numFmtId="1" fontId="17" fillId="7" borderId="4" xfId="1" applyNumberFormat="1" applyFont="1" applyFill="1" applyBorder="1" applyAlignment="1">
      <alignment horizontal="center" vertical="center"/>
    </xf>
    <xf numFmtId="1" fontId="17" fillId="7" borderId="6" xfId="1" applyNumberFormat="1" applyFont="1" applyFill="1" applyBorder="1" applyAlignment="1">
      <alignment horizontal="center" vertical="center"/>
    </xf>
    <xf numFmtId="1" fontId="17" fillId="7" borderId="5" xfId="1" applyNumberFormat="1" applyFont="1" applyFill="1" applyBorder="1" applyAlignment="1">
      <alignment horizontal="center" vertical="center"/>
    </xf>
    <xf numFmtId="164" fontId="18" fillId="0" borderId="0" xfId="1" applyNumberFormat="1" applyFont="1" applyAlignment="1">
      <alignment horizontal="center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FFFF99"/>
      <color rgb="FFF8F8F8"/>
      <color rgb="FFCCFFCC"/>
      <color rgb="FFFFFFCC"/>
      <color rgb="FF808000"/>
      <color rgb="FFCCCC00"/>
      <color rgb="FFFFCC66"/>
      <color rgb="FFB8CCE4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D5"/>
  <sheetViews>
    <sheetView showGridLines="0" workbookViewId="0">
      <selection activeCell="C2" sqref="C2"/>
    </sheetView>
  </sheetViews>
  <sheetFormatPr defaultRowHeight="23.25" x14ac:dyDescent="0.35"/>
  <cols>
    <col min="1" max="1" width="23.140625" style="52" customWidth="1"/>
    <col min="2" max="16384" width="9.140625" style="52"/>
  </cols>
  <sheetData>
    <row r="2" spans="1:4" x14ac:dyDescent="0.35">
      <c r="A2" s="52" t="s">
        <v>125</v>
      </c>
      <c r="C2" s="53">
        <v>2014</v>
      </c>
    </row>
    <row r="5" spans="1:4" x14ac:dyDescent="0.35">
      <c r="A5" s="52" t="s">
        <v>124</v>
      </c>
      <c r="C5" s="53">
        <v>9</v>
      </c>
      <c r="D5" s="52" t="s">
        <v>126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38"/>
  <sheetViews>
    <sheetView showGridLines="0" topLeftCell="B1" zoomScaleNormal="100" workbookViewId="0">
      <selection activeCell="P3" sqref="P3"/>
    </sheetView>
  </sheetViews>
  <sheetFormatPr defaultRowHeight="15" x14ac:dyDescent="0.25"/>
  <cols>
    <col min="1" max="1" width="4.42578125" style="54" hidden="1" customWidth="1"/>
    <col min="2" max="2" width="4.28515625" style="4" customWidth="1"/>
    <col min="3" max="3" width="9.140625" style="1"/>
    <col min="4" max="4" width="25.140625" style="1" customWidth="1"/>
    <col min="5" max="6" width="12.140625" style="1" customWidth="1"/>
    <col min="7" max="7" width="12.5703125" style="1" customWidth="1"/>
    <col min="8" max="8" width="12.5703125" style="1" hidden="1" customWidth="1"/>
    <col min="9" max="11" width="11.85546875" style="48" hidden="1" customWidth="1"/>
    <col min="12" max="12" width="2.5703125" style="1" customWidth="1"/>
    <col min="13" max="13" width="12.5703125" style="1" bestFit="1" customWidth="1"/>
    <col min="14" max="14" width="11.7109375" style="1" customWidth="1"/>
    <col min="15" max="15" width="10" style="48" bestFit="1" customWidth="1"/>
    <col min="16" max="16" width="10" style="1" bestFit="1" customWidth="1"/>
    <col min="17" max="18" width="9.140625" style="1"/>
    <col min="19" max="19" width="9.5703125" style="1" bestFit="1" customWidth="1"/>
    <col min="20" max="16384" width="9.140625" style="1"/>
  </cols>
  <sheetData>
    <row r="1" spans="1:15" ht="41.25" customHeight="1" x14ac:dyDescent="0.25">
      <c r="B1" s="97" t="s">
        <v>109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8.25" customHeight="1" x14ac:dyDescent="0.25"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ht="18" customHeight="1" x14ac:dyDescent="0.25">
      <c r="E3" s="103" t="s">
        <v>108</v>
      </c>
      <c r="F3" s="104"/>
      <c r="G3" s="105"/>
      <c r="H3" s="73"/>
      <c r="I3" s="73"/>
      <c r="J3" s="73"/>
      <c r="K3" s="74"/>
      <c r="M3" s="99" t="str">
        <f>+'New Year-Full Year'!P3</f>
        <v>2015 Year to Date (YTD)</v>
      </c>
      <c r="N3" s="100"/>
      <c r="O3" s="101"/>
    </row>
    <row r="4" spans="1:15" s="4" customFormat="1" ht="44.25" customHeight="1" x14ac:dyDescent="0.25">
      <c r="A4" s="55"/>
      <c r="E4" s="59" t="str">
        <f>+'New Year-Full Year'!H4</f>
        <v>2016 Budget</v>
      </c>
      <c r="F4" s="50" t="str">
        <f>+'New Year-Full Year'!I4</f>
        <v>2015 Budget</v>
      </c>
      <c r="G4" s="60" t="str">
        <f>+'New Year-Full Year'!J4</f>
        <v>2016 Budget vs 2015 Budget</v>
      </c>
      <c r="H4" s="50" t="s">
        <v>136</v>
      </c>
      <c r="I4" s="50" t="s">
        <v>137</v>
      </c>
      <c r="J4" s="50" t="s">
        <v>132</v>
      </c>
      <c r="K4" s="60" t="s">
        <v>133</v>
      </c>
      <c r="M4" s="2" t="str">
        <f>+'New Year-Full Year'!P4</f>
        <v>August YTD Actual</v>
      </c>
      <c r="N4" s="47" t="str">
        <f>+'New Year-Full Year'!Q4</f>
        <v>August YTD Budget</v>
      </c>
      <c r="O4" s="3" t="s">
        <v>107</v>
      </c>
    </row>
    <row r="5" spans="1:15" s="4" customFormat="1" ht="18.75" x14ac:dyDescent="0.25">
      <c r="A5" s="55"/>
      <c r="B5" s="10" t="s">
        <v>0</v>
      </c>
      <c r="E5" s="11"/>
      <c r="F5" s="49"/>
      <c r="G5" s="49"/>
      <c r="H5" s="49"/>
      <c r="I5" s="49"/>
      <c r="J5" s="49"/>
      <c r="K5" s="49"/>
      <c r="M5" s="49"/>
      <c r="N5" s="49"/>
      <c r="O5" s="49"/>
    </row>
    <row r="6" spans="1:15" x14ac:dyDescent="0.25">
      <c r="A6" s="54">
        <v>1</v>
      </c>
      <c r="B6" s="4" t="s">
        <v>1</v>
      </c>
      <c r="J6" s="1"/>
      <c r="K6" s="1"/>
    </row>
    <row r="7" spans="1:15" x14ac:dyDescent="0.25">
      <c r="A7" s="54">
        <v>2</v>
      </c>
      <c r="C7" s="1" t="s">
        <v>1</v>
      </c>
      <c r="E7" s="46">
        <f>+'New Year-Full Year'!H7</f>
        <v>536136.74</v>
      </c>
      <c r="F7" s="46">
        <f>+'New Year-Full Year'!I7</f>
        <v>536136.74</v>
      </c>
      <c r="G7" s="6">
        <f>IF(F7=0,"NA",(+E7-F7)/F7)</f>
        <v>0</v>
      </c>
      <c r="H7" s="46" t="e">
        <f>+#REF!</f>
        <v>#REF!</v>
      </c>
      <c r="I7" s="6" t="e">
        <f t="shared" ref="I7:I12" si="0">IF(H7=0,"NA",(+E7-H7)/H7)</f>
        <v>#REF!</v>
      </c>
      <c r="J7" s="46" t="e">
        <f>+#REF!</f>
        <v>#REF!</v>
      </c>
      <c r="K7" s="5">
        <v>542338</v>
      </c>
      <c r="M7" s="46">
        <f>+'New Year-Full Year'!P7</f>
        <v>374670.9</v>
      </c>
      <c r="N7" s="46">
        <f>+'New Year-Full Year'!Q7</f>
        <v>392352.86</v>
      </c>
      <c r="O7" s="6">
        <f t="shared" ref="O7:O12" si="1">IF(N7=0,"NA",(+M7-N7)/N7)</f>
        <v>-4.5066474091714187E-2</v>
      </c>
    </row>
    <row r="8" spans="1:15" x14ac:dyDescent="0.25">
      <c r="A8" s="54">
        <v>4</v>
      </c>
      <c r="C8" s="1" t="s">
        <v>2</v>
      </c>
      <c r="E8" s="46">
        <f>+'New Year-Full Year'!H8</f>
        <v>4000</v>
      </c>
      <c r="F8" s="46">
        <f>+'New Year-Full Year'!I8</f>
        <v>4000</v>
      </c>
      <c r="G8" s="6">
        <f t="shared" ref="G8:G12" si="2">IF(F8=0,"NA",(+E8-F8)/F8)</f>
        <v>0</v>
      </c>
      <c r="H8" s="46" t="e">
        <f>+#REF!</f>
        <v>#REF!</v>
      </c>
      <c r="I8" s="6" t="e">
        <f t="shared" si="0"/>
        <v>#REF!</v>
      </c>
      <c r="J8" s="46" t="e">
        <f>+#REF!</f>
        <v>#REF!</v>
      </c>
      <c r="K8" s="5">
        <v>4013</v>
      </c>
      <c r="M8" s="46">
        <f>+'New Year-Full Year'!P8</f>
        <v>4393</v>
      </c>
      <c r="N8" s="46">
        <f>+'New Year-Full Year'!Q8</f>
        <v>4000</v>
      </c>
      <c r="O8" s="6">
        <f t="shared" si="1"/>
        <v>9.8250000000000004E-2</v>
      </c>
    </row>
    <row r="9" spans="1:15" x14ac:dyDescent="0.25">
      <c r="A9" s="54">
        <v>5</v>
      </c>
      <c r="C9" s="1" t="s">
        <v>3</v>
      </c>
      <c r="E9" s="46">
        <f>+'New Year-Full Year'!H9</f>
        <v>1000</v>
      </c>
      <c r="F9" s="46">
        <f>+'New Year-Full Year'!I9</f>
        <v>1000</v>
      </c>
      <c r="G9" s="6">
        <f t="shared" si="2"/>
        <v>0</v>
      </c>
      <c r="H9" s="46" t="e">
        <f>+#REF!</f>
        <v>#REF!</v>
      </c>
      <c r="I9" s="6" t="e">
        <f t="shared" si="0"/>
        <v>#REF!</v>
      </c>
      <c r="J9" s="46" t="e">
        <f>+#REF!</f>
        <v>#REF!</v>
      </c>
      <c r="K9" s="5">
        <v>956</v>
      </c>
      <c r="M9" s="46">
        <v>0</v>
      </c>
      <c r="N9" s="46">
        <v>0</v>
      </c>
      <c r="O9" s="6" t="str">
        <f t="shared" si="1"/>
        <v>NA</v>
      </c>
    </row>
    <row r="10" spans="1:15" x14ac:dyDescent="0.25">
      <c r="A10" s="54">
        <v>6</v>
      </c>
      <c r="C10" s="1" t="s">
        <v>4</v>
      </c>
      <c r="E10" s="46">
        <f>+'New Year-Full Year'!H10</f>
        <v>5000</v>
      </c>
      <c r="F10" s="46">
        <f>+'New Year-Full Year'!I10</f>
        <v>5000</v>
      </c>
      <c r="G10" s="6">
        <f t="shared" si="2"/>
        <v>0</v>
      </c>
      <c r="H10" s="46" t="e">
        <f>+#REF!</f>
        <v>#REF!</v>
      </c>
      <c r="I10" s="6" t="e">
        <f t="shared" si="0"/>
        <v>#REF!</v>
      </c>
      <c r="J10" s="46" t="e">
        <f>+#REF!</f>
        <v>#REF!</v>
      </c>
      <c r="K10" s="5">
        <v>6111</v>
      </c>
      <c r="M10" s="46">
        <v>0</v>
      </c>
      <c r="N10" s="46">
        <v>0</v>
      </c>
      <c r="O10" s="6" t="str">
        <f t="shared" si="1"/>
        <v>NA</v>
      </c>
    </row>
    <row r="11" spans="1:15" x14ac:dyDescent="0.25">
      <c r="A11" s="54">
        <v>7</v>
      </c>
      <c r="C11" s="1" t="s">
        <v>5</v>
      </c>
      <c r="E11" s="46">
        <f>+'New Year-Full Year'!H11</f>
        <v>2000</v>
      </c>
      <c r="F11" s="46">
        <f>+'New Year-Full Year'!I11</f>
        <v>2000</v>
      </c>
      <c r="G11" s="6">
        <f t="shared" si="2"/>
        <v>0</v>
      </c>
      <c r="H11" s="46" t="e">
        <f>+#REF!</f>
        <v>#REF!</v>
      </c>
      <c r="I11" s="6" t="e">
        <f t="shared" si="0"/>
        <v>#REF!</v>
      </c>
      <c r="J11" s="46" t="e">
        <f>+#REF!</f>
        <v>#REF!</v>
      </c>
      <c r="K11" s="5">
        <v>2716</v>
      </c>
      <c r="M11" s="46">
        <f>+'New Year-Full Year'!P11</f>
        <v>2423</v>
      </c>
      <c r="N11" s="46">
        <f>+'New Year-Full Year'!Q11</f>
        <v>2000</v>
      </c>
      <c r="O11" s="6">
        <f t="shared" si="1"/>
        <v>0.21149999999999999</v>
      </c>
    </row>
    <row r="12" spans="1:15" x14ac:dyDescent="0.25">
      <c r="A12" s="54">
        <v>8</v>
      </c>
      <c r="B12" s="14" t="s">
        <v>6</v>
      </c>
      <c r="C12" s="14"/>
      <c r="D12" s="14"/>
      <c r="E12" s="14">
        <f>SUM(E7:E11)</f>
        <v>548136.74</v>
      </c>
      <c r="F12" s="14">
        <f>SUM(F7:F11)</f>
        <v>548136.74</v>
      </c>
      <c r="G12" s="15">
        <f t="shared" si="2"/>
        <v>0</v>
      </c>
      <c r="H12" s="14" t="e">
        <f>SUM(H7:H11)</f>
        <v>#REF!</v>
      </c>
      <c r="I12" s="15" t="e">
        <f t="shared" si="0"/>
        <v>#REF!</v>
      </c>
      <c r="J12" s="14" t="e">
        <f>SUM(J7:J11)</f>
        <v>#REF!</v>
      </c>
      <c r="K12" s="14">
        <f>SUM(K7:K11)</f>
        <v>556134</v>
      </c>
      <c r="M12" s="14">
        <f>SUM(M7:M11)</f>
        <v>381486.9</v>
      </c>
      <c r="N12" s="14">
        <f>SUM(N7:N11)</f>
        <v>398352.86</v>
      </c>
      <c r="O12" s="15">
        <f t="shared" si="1"/>
        <v>-4.2339246666887147E-2</v>
      </c>
    </row>
    <row r="13" spans="1:15" ht="5.25" customHeight="1" x14ac:dyDescent="0.25">
      <c r="A13" s="54">
        <v>9</v>
      </c>
      <c r="G13" s="48"/>
      <c r="J13" s="1"/>
      <c r="K13" s="1"/>
    </row>
    <row r="14" spans="1:15" x14ac:dyDescent="0.25">
      <c r="A14" s="54">
        <v>10</v>
      </c>
      <c r="B14" s="4" t="s">
        <v>7</v>
      </c>
      <c r="G14" s="48"/>
      <c r="J14" s="1"/>
      <c r="K14" s="1"/>
    </row>
    <row r="15" spans="1:15" x14ac:dyDescent="0.25">
      <c r="A15" s="54">
        <v>11</v>
      </c>
      <c r="C15" s="1" t="s">
        <v>8</v>
      </c>
      <c r="E15" s="46">
        <f>+'New Year-Full Year'!H15</f>
        <v>7500</v>
      </c>
      <c r="F15" s="46">
        <f>+'New Year-Full Year'!I15</f>
        <v>7500</v>
      </c>
      <c r="G15" s="6">
        <f t="shared" ref="G15:G21" si="3">IF(F15=0,"NA",(+E15-F15)/F15)</f>
        <v>0</v>
      </c>
      <c r="H15" s="46" t="e">
        <f>+#REF!</f>
        <v>#REF!</v>
      </c>
      <c r="I15" s="6" t="e">
        <f t="shared" ref="I15:I21" si="4">IF(H15=0,"NA",(+E15-H15)/H15)</f>
        <v>#REF!</v>
      </c>
      <c r="J15" s="46" t="e">
        <f>+#REF!</f>
        <v>#REF!</v>
      </c>
      <c r="K15" s="5">
        <v>10734</v>
      </c>
      <c r="M15" s="46">
        <f>+'New Year-Full Year'!P15</f>
        <v>3888.03</v>
      </c>
      <c r="N15" s="46">
        <f>+'New Year-Full Year'!Q15</f>
        <v>5000</v>
      </c>
      <c r="O15" s="6">
        <f t="shared" ref="O15:O21" si="5">IF(N15=0,"NA",(+M15-N15)/N15)</f>
        <v>-0.22239399999999995</v>
      </c>
    </row>
    <row r="16" spans="1:15" x14ac:dyDescent="0.25">
      <c r="A16" s="54">
        <v>12</v>
      </c>
      <c r="C16" s="1" t="s">
        <v>7</v>
      </c>
      <c r="E16" s="46">
        <f>+'New Year-Full Year'!H16</f>
        <v>0</v>
      </c>
      <c r="F16" s="46">
        <f>+'New Year-Full Year'!I16</f>
        <v>0</v>
      </c>
      <c r="G16" s="6" t="str">
        <f t="shared" si="3"/>
        <v>NA</v>
      </c>
      <c r="H16" s="46" t="e">
        <f>+#REF!</f>
        <v>#REF!</v>
      </c>
      <c r="I16" s="6" t="e">
        <f t="shared" si="4"/>
        <v>#REF!</v>
      </c>
      <c r="J16" s="46" t="e">
        <f>+#REF!</f>
        <v>#REF!</v>
      </c>
      <c r="K16" s="5">
        <v>2135</v>
      </c>
      <c r="M16" s="46">
        <f>+'New Year-Full Year'!P16</f>
        <v>2675.15</v>
      </c>
      <c r="N16" s="46">
        <f>+'New Year-Full Year'!Q16</f>
        <v>0</v>
      </c>
      <c r="O16" s="6" t="str">
        <f t="shared" si="5"/>
        <v>NA</v>
      </c>
    </row>
    <row r="17" spans="1:15" hidden="1" x14ac:dyDescent="0.25">
      <c r="A17" s="54">
        <v>13</v>
      </c>
      <c r="C17" s="1" t="s">
        <v>9</v>
      </c>
      <c r="E17" s="46">
        <f>+'New Year-Full Year'!H17</f>
        <v>0</v>
      </c>
      <c r="F17" s="46">
        <f>+'New Year-Full Year'!I17</f>
        <v>0</v>
      </c>
      <c r="G17" s="6" t="str">
        <f t="shared" si="3"/>
        <v>NA</v>
      </c>
      <c r="H17" s="46" t="e">
        <f>+#REF!</f>
        <v>#REF!</v>
      </c>
      <c r="I17" s="6" t="e">
        <f t="shared" si="4"/>
        <v>#REF!</v>
      </c>
      <c r="J17" s="46" t="e">
        <f>+#REF!</f>
        <v>#REF!</v>
      </c>
      <c r="K17" s="5"/>
      <c r="M17" s="46">
        <f>+'New Year-Full Year'!P17</f>
        <v>0</v>
      </c>
      <c r="N17" s="46">
        <f>+'New Year-Full Year'!Q17</f>
        <v>0</v>
      </c>
      <c r="O17" s="6" t="str">
        <f t="shared" si="5"/>
        <v>NA</v>
      </c>
    </row>
    <row r="18" spans="1:15" x14ac:dyDescent="0.25">
      <c r="A18" s="54">
        <v>14</v>
      </c>
      <c r="C18" s="1" t="s">
        <v>11</v>
      </c>
      <c r="E18" s="46">
        <f>+'New Year-Full Year'!H18</f>
        <v>0</v>
      </c>
      <c r="F18" s="46">
        <f>+'New Year-Full Year'!I18</f>
        <v>0</v>
      </c>
      <c r="G18" s="6" t="str">
        <f t="shared" si="3"/>
        <v>NA</v>
      </c>
      <c r="H18" s="46" t="e">
        <f>+#REF!</f>
        <v>#REF!</v>
      </c>
      <c r="I18" s="6" t="e">
        <f t="shared" si="4"/>
        <v>#REF!</v>
      </c>
      <c r="J18" s="46" t="e">
        <f>+#REF!</f>
        <v>#REF!</v>
      </c>
      <c r="K18" s="5">
        <v>8</v>
      </c>
      <c r="M18" s="46">
        <f>+'New Year-Full Year'!P18</f>
        <v>0.93</v>
      </c>
      <c r="N18" s="46">
        <f>+'New Year-Full Year'!Q18</f>
        <v>0</v>
      </c>
      <c r="O18" s="6" t="str">
        <f t="shared" si="5"/>
        <v>NA</v>
      </c>
    </row>
    <row r="19" spans="1:15" x14ac:dyDescent="0.25">
      <c r="A19" s="54">
        <v>15</v>
      </c>
      <c r="C19" s="1" t="s">
        <v>120</v>
      </c>
      <c r="E19" s="46">
        <f>+'New Year-Full Year'!H19</f>
        <v>0</v>
      </c>
      <c r="F19" s="46">
        <f>+'New Year-Full Year'!I19</f>
        <v>0</v>
      </c>
      <c r="G19" s="6" t="str">
        <f t="shared" si="3"/>
        <v>NA</v>
      </c>
      <c r="H19" s="46" t="e">
        <f>+#REF!</f>
        <v>#REF!</v>
      </c>
      <c r="I19" s="6" t="e">
        <f t="shared" si="4"/>
        <v>#REF!</v>
      </c>
      <c r="J19" s="46" t="e">
        <f>+#REF!</f>
        <v>#REF!</v>
      </c>
      <c r="K19" s="5">
        <v>0</v>
      </c>
      <c r="M19" s="46">
        <f>+'New Year-Full Year'!P19</f>
        <v>757</v>
      </c>
      <c r="N19" s="46">
        <f>+'New Year-Full Year'!Q19</f>
        <v>0</v>
      </c>
      <c r="O19" s="6" t="str">
        <f t="shared" si="5"/>
        <v>NA</v>
      </c>
    </row>
    <row r="20" spans="1:15" x14ac:dyDescent="0.25">
      <c r="A20" s="54">
        <v>16</v>
      </c>
      <c r="B20" s="14" t="s">
        <v>10</v>
      </c>
      <c r="C20" s="14"/>
      <c r="D20" s="14"/>
      <c r="E20" s="14">
        <f>SUM(E15:E19)</f>
        <v>7500</v>
      </c>
      <c r="F20" s="14">
        <f>SUM(F15:F19)</f>
        <v>7500</v>
      </c>
      <c r="G20" s="15">
        <f t="shared" si="3"/>
        <v>0</v>
      </c>
      <c r="H20" s="14" t="e">
        <f t="shared" ref="H20:K20" si="6">SUM(H15:H19)</f>
        <v>#REF!</v>
      </c>
      <c r="I20" s="15" t="e">
        <f t="shared" si="4"/>
        <v>#REF!</v>
      </c>
      <c r="J20" s="14" t="e">
        <f t="shared" ref="J20" si="7">SUM(J15:J19)</f>
        <v>#REF!</v>
      </c>
      <c r="K20" s="14">
        <f t="shared" si="6"/>
        <v>12877</v>
      </c>
      <c r="M20" s="14">
        <f>SUM(M15:M19)</f>
        <v>7321.1100000000006</v>
      </c>
      <c r="N20" s="14">
        <f>SUM(N15:N19)</f>
        <v>5000</v>
      </c>
      <c r="O20" s="15">
        <f t="shared" si="5"/>
        <v>0.46422200000000013</v>
      </c>
    </row>
    <row r="21" spans="1:15" x14ac:dyDescent="0.25">
      <c r="A21" s="54">
        <v>17</v>
      </c>
      <c r="B21" s="14" t="s">
        <v>12</v>
      </c>
      <c r="C21" s="14"/>
      <c r="D21" s="14"/>
      <c r="E21" s="14">
        <f>+E12+E20</f>
        <v>555636.74</v>
      </c>
      <c r="F21" s="14">
        <f>+F12+F20</f>
        <v>555636.74</v>
      </c>
      <c r="G21" s="15">
        <f t="shared" si="3"/>
        <v>0</v>
      </c>
      <c r="H21" s="14" t="e">
        <f t="shared" ref="H21:K21" si="8">+H12+H20</f>
        <v>#REF!</v>
      </c>
      <c r="I21" s="15" t="e">
        <f t="shared" si="4"/>
        <v>#REF!</v>
      </c>
      <c r="J21" s="14" t="e">
        <f t="shared" ref="J21" si="9">+J12+J20</f>
        <v>#REF!</v>
      </c>
      <c r="K21" s="14">
        <f t="shared" si="8"/>
        <v>569011</v>
      </c>
      <c r="M21" s="14">
        <f>+M12+M20</f>
        <v>388808.01</v>
      </c>
      <c r="N21" s="14">
        <f>+N12+N20</f>
        <v>403352.86</v>
      </c>
      <c r="O21" s="15">
        <f t="shared" si="5"/>
        <v>-3.6059865795918682E-2</v>
      </c>
    </row>
    <row r="22" spans="1:15" ht="6" customHeight="1" x14ac:dyDescent="0.25">
      <c r="A22" s="54">
        <v>18</v>
      </c>
      <c r="G22" s="48"/>
      <c r="J22" s="1"/>
      <c r="K22" s="1"/>
    </row>
    <row r="23" spans="1:15" ht="18.75" x14ac:dyDescent="0.25">
      <c r="A23" s="54">
        <v>19</v>
      </c>
      <c r="B23" s="10" t="s">
        <v>13</v>
      </c>
      <c r="G23" s="48"/>
      <c r="J23" s="1"/>
      <c r="K23" s="1"/>
    </row>
    <row r="24" spans="1:15" s="4" customFormat="1" x14ac:dyDescent="0.25">
      <c r="A24" s="54">
        <v>26</v>
      </c>
      <c r="B24" s="16"/>
      <c r="C24" s="17" t="s">
        <v>117</v>
      </c>
      <c r="D24" s="16"/>
      <c r="E24" s="16">
        <f>+'New Year-Full Year'!H30</f>
        <v>53784</v>
      </c>
      <c r="F24" s="16">
        <f>+'New Year-Full Year'!I30</f>
        <v>49570</v>
      </c>
      <c r="G24" s="19">
        <f>IF(F24=0,"NA",(+E24-F24)/F24)</f>
        <v>8.5011095420617314E-2</v>
      </c>
      <c r="H24" s="56" t="e">
        <f>+#REF!</f>
        <v>#REF!</v>
      </c>
      <c r="I24" s="19" t="e">
        <f>IF(H24=0,"NA",(+E24-H24)/H24)</f>
        <v>#REF!</v>
      </c>
      <c r="J24" s="56" t="e">
        <f>+#REF!</f>
        <v>#REF!</v>
      </c>
      <c r="K24" s="18">
        <v>51179</v>
      </c>
      <c r="L24" s="16"/>
      <c r="M24" s="16">
        <f>+'New Year-Full Year'!P30</f>
        <v>30120.22</v>
      </c>
      <c r="N24" s="16">
        <f>+'New Year-Full Year'!Q30</f>
        <v>30395.58</v>
      </c>
      <c r="O24" s="19">
        <f>IF(N24=0,"NA",(+M24-N24)/N24)</f>
        <v>-9.0592118985721136E-3</v>
      </c>
    </row>
    <row r="25" spans="1:15" s="4" customFormat="1" ht="6.75" customHeight="1" x14ac:dyDescent="0.25">
      <c r="A25" s="54">
        <v>27</v>
      </c>
      <c r="B25" s="20"/>
      <c r="C25" s="21"/>
      <c r="D25" s="20"/>
      <c r="E25" s="20"/>
      <c r="F25" s="22"/>
      <c r="G25" s="23"/>
      <c r="H25" s="22"/>
      <c r="I25" s="23"/>
      <c r="J25" s="22"/>
      <c r="K25" s="22"/>
      <c r="L25" s="20"/>
      <c r="M25" s="22"/>
      <c r="N25" s="22"/>
      <c r="O25" s="23"/>
    </row>
    <row r="26" spans="1:15" s="4" customFormat="1" ht="18.75" x14ac:dyDescent="0.25">
      <c r="A26" s="54">
        <v>28</v>
      </c>
      <c r="B26" s="24" t="s">
        <v>80</v>
      </c>
      <c r="C26" s="21"/>
      <c r="D26" s="20"/>
      <c r="E26" s="20"/>
      <c r="F26" s="22"/>
      <c r="G26" s="23"/>
      <c r="H26" s="22"/>
      <c r="I26" s="23"/>
      <c r="J26" s="22"/>
      <c r="K26" s="22"/>
      <c r="L26" s="20"/>
      <c r="M26" s="22"/>
      <c r="N26" s="22"/>
      <c r="O26" s="23"/>
    </row>
    <row r="27" spans="1:15" x14ac:dyDescent="0.25">
      <c r="A27" s="54">
        <v>29</v>
      </c>
      <c r="B27" s="4" t="s">
        <v>18</v>
      </c>
      <c r="G27" s="48"/>
      <c r="J27" s="1"/>
      <c r="K27" s="1"/>
    </row>
    <row r="28" spans="1:15" x14ac:dyDescent="0.25">
      <c r="A28" s="54">
        <v>30</v>
      </c>
      <c r="C28" s="1" t="s">
        <v>106</v>
      </c>
      <c r="E28" s="46">
        <f>+'New Year-Full Year'!H34</f>
        <v>3000</v>
      </c>
      <c r="F28" s="46">
        <f>+'New Year-Full Year'!I34</f>
        <v>3000</v>
      </c>
      <c r="G28" s="6">
        <f t="shared" ref="G28:G34" si="10">IF(F28=0,"NA",(+E28-F28)/F28)</f>
        <v>0</v>
      </c>
      <c r="H28" s="46" t="e">
        <f>+#REF!</f>
        <v>#REF!</v>
      </c>
      <c r="I28" s="6" t="e">
        <f t="shared" ref="I28:I34" si="11">IF(H28=0,"NA",(+E28-H28)/H28)</f>
        <v>#REF!</v>
      </c>
      <c r="J28" s="46" t="e">
        <f>+#REF!</f>
        <v>#REF!</v>
      </c>
      <c r="K28" s="5">
        <v>4256</v>
      </c>
      <c r="M28" s="46">
        <f>+'New Year-Full Year'!P34</f>
        <v>778.69</v>
      </c>
      <c r="N28" s="46">
        <f>+'New Year-Full Year'!Q34</f>
        <v>1800</v>
      </c>
      <c r="O28" s="6">
        <f t="shared" ref="O28:O34" si="12">IF(N28=0,"NA",(+M28-N28)/N28)</f>
        <v>-0.56739444444444442</v>
      </c>
    </row>
    <row r="29" spans="1:15" x14ac:dyDescent="0.25">
      <c r="A29" s="54">
        <v>31</v>
      </c>
      <c r="C29" s="1" t="s">
        <v>19</v>
      </c>
      <c r="E29" s="46">
        <f>+'New Year-Full Year'!H35</f>
        <v>1000</v>
      </c>
      <c r="F29" s="46">
        <f>+'New Year-Full Year'!I35</f>
        <v>1000</v>
      </c>
      <c r="G29" s="6">
        <f t="shared" si="10"/>
        <v>0</v>
      </c>
      <c r="H29" s="46" t="e">
        <f>+#REF!</f>
        <v>#REF!</v>
      </c>
      <c r="I29" s="6" t="e">
        <f t="shared" si="11"/>
        <v>#REF!</v>
      </c>
      <c r="J29" s="46" t="e">
        <f>+#REF!</f>
        <v>#REF!</v>
      </c>
      <c r="K29" s="5">
        <v>2277</v>
      </c>
      <c r="M29" s="46">
        <f>+'New Year-Full Year'!P35</f>
        <v>252.95</v>
      </c>
      <c r="N29" s="46">
        <f>+'New Year-Full Year'!Q35</f>
        <v>555</v>
      </c>
      <c r="O29" s="6">
        <f t="shared" si="12"/>
        <v>-0.54423423423423423</v>
      </c>
    </row>
    <row r="30" spans="1:15" x14ac:dyDescent="0.25">
      <c r="A30" s="54">
        <v>32</v>
      </c>
      <c r="C30" s="1" t="s">
        <v>20</v>
      </c>
      <c r="E30" s="46">
        <f>+'New Year-Full Year'!H36</f>
        <v>1200</v>
      </c>
      <c r="F30" s="46">
        <f>+'New Year-Full Year'!I36</f>
        <v>1200</v>
      </c>
      <c r="G30" s="6">
        <f t="shared" si="10"/>
        <v>0</v>
      </c>
      <c r="H30" s="46" t="e">
        <f>+#REF!</f>
        <v>#REF!</v>
      </c>
      <c r="I30" s="6" t="e">
        <f t="shared" si="11"/>
        <v>#REF!</v>
      </c>
      <c r="J30" s="46" t="e">
        <f>+#REF!</f>
        <v>#REF!</v>
      </c>
      <c r="K30" s="5">
        <v>1278</v>
      </c>
      <c r="M30" s="46">
        <f>+'New Year-Full Year'!P36</f>
        <v>1147.1300000000001</v>
      </c>
      <c r="N30" s="46">
        <f>+'New Year-Full Year'!Q36</f>
        <v>1200</v>
      </c>
      <c r="O30" s="6">
        <f t="shared" si="12"/>
        <v>-4.4058333333333241E-2</v>
      </c>
    </row>
    <row r="31" spans="1:15" x14ac:dyDescent="0.25">
      <c r="A31" s="54">
        <v>33</v>
      </c>
      <c r="C31" s="1" t="s">
        <v>21</v>
      </c>
      <c r="E31" s="46">
        <f>+'New Year-Full Year'!H37</f>
        <v>300</v>
      </c>
      <c r="F31" s="46">
        <f>+'New Year-Full Year'!I37</f>
        <v>300</v>
      </c>
      <c r="G31" s="6">
        <f t="shared" si="10"/>
        <v>0</v>
      </c>
      <c r="H31" s="46" t="e">
        <f>+#REF!</f>
        <v>#REF!</v>
      </c>
      <c r="I31" s="6" t="e">
        <f t="shared" si="11"/>
        <v>#REF!</v>
      </c>
      <c r="J31" s="46" t="e">
        <f>+#REF!</f>
        <v>#REF!</v>
      </c>
      <c r="K31" s="5">
        <v>773</v>
      </c>
      <c r="M31" s="46">
        <f>+'New Year-Full Year'!P37</f>
        <v>291.73</v>
      </c>
      <c r="N31" s="46">
        <f>+'New Year-Full Year'!Q37</f>
        <v>0</v>
      </c>
      <c r="O31" s="6" t="str">
        <f t="shared" si="12"/>
        <v>NA</v>
      </c>
    </row>
    <row r="32" spans="1:15" x14ac:dyDescent="0.25">
      <c r="A32" s="54">
        <v>34</v>
      </c>
      <c r="C32" s="1" t="s">
        <v>22</v>
      </c>
      <c r="E32" s="46">
        <f>+'New Year-Full Year'!H38</f>
        <v>140</v>
      </c>
      <c r="F32" s="46">
        <f>+'New Year-Full Year'!I38</f>
        <v>140</v>
      </c>
      <c r="G32" s="6">
        <f t="shared" si="10"/>
        <v>0</v>
      </c>
      <c r="H32" s="46" t="e">
        <f>+#REF!</f>
        <v>#REF!</v>
      </c>
      <c r="I32" s="6" t="e">
        <f t="shared" si="11"/>
        <v>#REF!</v>
      </c>
      <c r="J32" s="46" t="e">
        <f>+#REF!</f>
        <v>#REF!</v>
      </c>
      <c r="K32" s="5">
        <v>259</v>
      </c>
      <c r="M32" s="46">
        <f>+'New Year-Full Year'!P38</f>
        <v>65.59</v>
      </c>
      <c r="N32" s="46">
        <f>+'New Year-Full Year'!Q38</f>
        <v>140</v>
      </c>
      <c r="O32" s="6">
        <f t="shared" si="12"/>
        <v>-0.53149999999999997</v>
      </c>
    </row>
    <row r="33" spans="1:15" x14ac:dyDescent="0.25">
      <c r="A33" s="54">
        <v>35</v>
      </c>
      <c r="C33" s="1" t="s">
        <v>110</v>
      </c>
      <c r="E33" s="46">
        <f>+'New Year-Full Year'!H39</f>
        <v>400</v>
      </c>
      <c r="F33" s="46">
        <f>+'New Year-Full Year'!I39</f>
        <v>400</v>
      </c>
      <c r="G33" s="6">
        <f t="shared" si="10"/>
        <v>0</v>
      </c>
      <c r="H33" s="46" t="e">
        <f>+#REF!</f>
        <v>#REF!</v>
      </c>
      <c r="I33" s="6" t="e">
        <f t="shared" si="11"/>
        <v>#REF!</v>
      </c>
      <c r="J33" s="46" t="e">
        <f>+#REF!</f>
        <v>#REF!</v>
      </c>
      <c r="K33" s="5">
        <v>459</v>
      </c>
      <c r="M33" s="46">
        <f>+'New Year-Full Year'!P39</f>
        <v>466.43</v>
      </c>
      <c r="N33" s="46">
        <f>+'New Year-Full Year'!Q39</f>
        <v>266.64</v>
      </c>
      <c r="O33" s="6">
        <f t="shared" si="12"/>
        <v>0.74928742874287435</v>
      </c>
    </row>
    <row r="34" spans="1:15" s="4" customFormat="1" x14ac:dyDescent="0.25">
      <c r="A34" s="54">
        <v>36</v>
      </c>
      <c r="B34" s="45" t="s">
        <v>23</v>
      </c>
      <c r="C34" s="45"/>
      <c r="D34" s="45"/>
      <c r="E34" s="45">
        <f>SUM(E28:E33)</f>
        <v>6040</v>
      </c>
      <c r="F34" s="45">
        <f>SUM(F28:F33)</f>
        <v>6040</v>
      </c>
      <c r="G34" s="26">
        <f t="shared" si="10"/>
        <v>0</v>
      </c>
      <c r="H34" s="45" t="e">
        <f t="shared" ref="H34:K34" si="13">SUM(H28:H33)</f>
        <v>#REF!</v>
      </c>
      <c r="I34" s="26" t="e">
        <f t="shared" si="11"/>
        <v>#REF!</v>
      </c>
      <c r="J34" s="45" t="e">
        <f t="shared" ref="J34" si="14">SUM(J28:J33)</f>
        <v>#REF!</v>
      </c>
      <c r="K34" s="45">
        <f t="shared" si="13"/>
        <v>9302</v>
      </c>
      <c r="M34" s="45">
        <f>SUM(M28:M33)</f>
        <v>3002.5200000000004</v>
      </c>
      <c r="N34" s="45">
        <f>SUM(N28:N33)</f>
        <v>3961.64</v>
      </c>
      <c r="O34" s="26">
        <f t="shared" si="12"/>
        <v>-0.242101755838491</v>
      </c>
    </row>
    <row r="35" spans="1:15" ht="6" customHeight="1" x14ac:dyDescent="0.25">
      <c r="A35" s="54">
        <v>37</v>
      </c>
      <c r="G35" s="48"/>
      <c r="J35" s="1"/>
      <c r="K35" s="1"/>
    </row>
    <row r="36" spans="1:15" x14ac:dyDescent="0.25">
      <c r="A36" s="54">
        <v>38</v>
      </c>
      <c r="B36" s="45" t="s">
        <v>24</v>
      </c>
      <c r="C36" s="45"/>
      <c r="D36" s="45"/>
      <c r="E36" s="57">
        <f>+'New Year-Full Year'!H42</f>
        <v>750</v>
      </c>
      <c r="F36" s="57">
        <f>+'New Year-Full Year'!I42</f>
        <v>750</v>
      </c>
      <c r="G36" s="26">
        <f>IF(F36=0,"NA",(+E36-F36)/F36)</f>
        <v>0</v>
      </c>
      <c r="H36" s="57" t="e">
        <f>+#REF!</f>
        <v>#REF!</v>
      </c>
      <c r="I36" s="26" t="e">
        <f>IF(H36=0,"NA",(+E36-H36)/H36)</f>
        <v>#REF!</v>
      </c>
      <c r="J36" s="57" t="e">
        <f>+#REF!</f>
        <v>#REF!</v>
      </c>
      <c r="K36" s="27">
        <v>0</v>
      </c>
      <c r="M36" s="57">
        <f>+'New Year-Full Year'!P42</f>
        <v>360.42</v>
      </c>
      <c r="N36" s="57">
        <f>+'New Year-Full Year'!Q42</f>
        <v>500</v>
      </c>
      <c r="O36" s="26">
        <f>IF(N36=0,"NA",(+M36-N36)/N36)</f>
        <v>-0.27915999999999996</v>
      </c>
    </row>
    <row r="37" spans="1:15" ht="7.5" customHeight="1" x14ac:dyDescent="0.25">
      <c r="A37" s="54">
        <v>39</v>
      </c>
      <c r="G37" s="48"/>
      <c r="J37" s="1"/>
      <c r="K37" s="1"/>
    </row>
    <row r="38" spans="1:15" x14ac:dyDescent="0.25">
      <c r="A38" s="54">
        <v>40</v>
      </c>
      <c r="B38" s="4" t="s">
        <v>25</v>
      </c>
      <c r="G38" s="48"/>
      <c r="J38" s="1"/>
      <c r="K38" s="1"/>
    </row>
    <row r="39" spans="1:15" x14ac:dyDescent="0.25">
      <c r="A39" s="54">
        <v>41</v>
      </c>
      <c r="C39" s="1" t="s">
        <v>27</v>
      </c>
      <c r="E39" s="46">
        <f>+'New Year-Full Year'!H45</f>
        <v>5200</v>
      </c>
      <c r="F39" s="46">
        <f>+'New Year-Full Year'!I45</f>
        <v>5200</v>
      </c>
      <c r="G39" s="6">
        <f t="shared" ref="G39:G43" si="15">IF(F39=0,"NA",(+E39-F39)/F39)</f>
        <v>0</v>
      </c>
      <c r="H39" s="46" t="e">
        <f>+#REF!</f>
        <v>#REF!</v>
      </c>
      <c r="I39" s="6" t="e">
        <f>IF(H39=0,"NA",(+E39-H39)/H39)</f>
        <v>#REF!</v>
      </c>
      <c r="J39" s="46" t="e">
        <f>+#REF!</f>
        <v>#REF!</v>
      </c>
      <c r="K39" s="5">
        <v>7075</v>
      </c>
      <c r="M39" s="46">
        <f>+'New Year-Full Year'!P45</f>
        <v>3522.1</v>
      </c>
      <c r="N39" s="46">
        <f>+'New Year-Full Year'!Q45</f>
        <v>3466.64</v>
      </c>
      <c r="O39" s="6">
        <f>IF(N39=0,"NA",(+M39-N39)/N39)</f>
        <v>1.599819998615375E-2</v>
      </c>
    </row>
    <row r="40" spans="1:15" x14ac:dyDescent="0.25">
      <c r="A40" s="54">
        <v>42</v>
      </c>
      <c r="C40" s="1" t="s">
        <v>28</v>
      </c>
      <c r="E40" s="46">
        <f>+'New Year-Full Year'!H46</f>
        <v>1300</v>
      </c>
      <c r="F40" s="46">
        <f>+'New Year-Full Year'!I46</f>
        <v>1300</v>
      </c>
      <c r="G40" s="6">
        <f t="shared" si="15"/>
        <v>0</v>
      </c>
      <c r="H40" s="46" t="e">
        <f>+#REF!</f>
        <v>#REF!</v>
      </c>
      <c r="I40" s="6" t="e">
        <f>IF(H40=0,"NA",(+E40-H40)/H40)</f>
        <v>#REF!</v>
      </c>
      <c r="J40" s="46" t="e">
        <f>+#REF!</f>
        <v>#REF!</v>
      </c>
      <c r="K40" s="5">
        <v>0</v>
      </c>
      <c r="M40" s="46">
        <f>+'New Year-Full Year'!P46</f>
        <v>650</v>
      </c>
      <c r="N40" s="46">
        <f>+'New Year-Full Year'!Q46</f>
        <v>866.64</v>
      </c>
      <c r="O40" s="6">
        <f>IF(N40=0,"NA",(+M40-N40)/N40)</f>
        <v>-0.24997692236684205</v>
      </c>
    </row>
    <row r="41" spans="1:15" x14ac:dyDescent="0.25">
      <c r="A41" s="54">
        <v>43</v>
      </c>
      <c r="C41" s="1" t="s">
        <v>29</v>
      </c>
      <c r="E41" s="46">
        <f>+'New Year-Full Year'!H47</f>
        <v>800</v>
      </c>
      <c r="F41" s="46">
        <f>+'New Year-Full Year'!I47</f>
        <v>800</v>
      </c>
      <c r="G41" s="6">
        <f t="shared" si="15"/>
        <v>0</v>
      </c>
      <c r="H41" s="46" t="e">
        <f>+#REF!</f>
        <v>#REF!</v>
      </c>
      <c r="I41" s="6" t="e">
        <f>IF(H41=0,"NA",(+E41-H41)/H41)</f>
        <v>#REF!</v>
      </c>
      <c r="J41" s="46" t="e">
        <f>+#REF!</f>
        <v>#REF!</v>
      </c>
      <c r="K41" s="5">
        <v>0</v>
      </c>
      <c r="M41" s="46">
        <f>+'New Year-Full Year'!P47</f>
        <v>72.36</v>
      </c>
      <c r="N41" s="46">
        <f>+'New Year-Full Year'!Q47</f>
        <v>533.36</v>
      </c>
      <c r="O41" s="6">
        <f>IF(N41=0,"NA",(+M41-N41)/N41)</f>
        <v>-0.86433178341082939</v>
      </c>
    </row>
    <row r="42" spans="1:15" x14ac:dyDescent="0.25">
      <c r="A42" s="54">
        <v>44</v>
      </c>
      <c r="C42" s="1" t="s">
        <v>30</v>
      </c>
      <c r="E42" s="46">
        <f>+'New Year-Full Year'!H48</f>
        <v>200</v>
      </c>
      <c r="F42" s="46">
        <f>+'New Year-Full Year'!I48</f>
        <v>200</v>
      </c>
      <c r="G42" s="6">
        <f t="shared" si="15"/>
        <v>0</v>
      </c>
      <c r="H42" s="46" t="e">
        <f>+#REF!</f>
        <v>#REF!</v>
      </c>
      <c r="I42" s="6" t="e">
        <f>IF(H42=0,"NA",(+E42-H42)/H42)</f>
        <v>#REF!</v>
      </c>
      <c r="J42" s="46" t="e">
        <f>+#REF!</f>
        <v>#REF!</v>
      </c>
      <c r="K42" s="5">
        <v>1051</v>
      </c>
      <c r="M42" s="46">
        <f>+'New Year-Full Year'!P48</f>
        <v>15.5</v>
      </c>
      <c r="N42" s="46">
        <f>+'New Year-Full Year'!Q48</f>
        <v>133.36000000000001</v>
      </c>
      <c r="O42" s="6">
        <f>IF(N42=0,"NA",(+M42-N42)/N42)</f>
        <v>-0.88377324535092983</v>
      </c>
    </row>
    <row r="43" spans="1:15" s="4" customFormat="1" x14ac:dyDescent="0.25">
      <c r="A43" s="54">
        <v>45</v>
      </c>
      <c r="B43" s="45" t="s">
        <v>26</v>
      </c>
      <c r="C43" s="45"/>
      <c r="D43" s="45"/>
      <c r="E43" s="45">
        <f>SUM(E39:E42)</f>
        <v>7500</v>
      </c>
      <c r="F43" s="45">
        <f>SUM(F39:F42)</f>
        <v>7500</v>
      </c>
      <c r="G43" s="26">
        <f t="shared" si="15"/>
        <v>0</v>
      </c>
      <c r="H43" s="45" t="e">
        <f>SUM(H39:H42)</f>
        <v>#REF!</v>
      </c>
      <c r="I43" s="26" t="e">
        <f>IF(H43=0,"NA",(+E43-H43)/H43)</f>
        <v>#REF!</v>
      </c>
      <c r="J43" s="45" t="e">
        <f>SUM(J39:J42)</f>
        <v>#REF!</v>
      </c>
      <c r="K43" s="45">
        <f>SUM(K39:K42)</f>
        <v>8126</v>
      </c>
      <c r="M43" s="45">
        <f>SUM(M39:M42)</f>
        <v>4259.96</v>
      </c>
      <c r="N43" s="45">
        <f>SUM(N39:N42)</f>
        <v>4999.9999999999991</v>
      </c>
      <c r="O43" s="26">
        <f>IF(N43=0,"NA",(+M43-N43)/N43)</f>
        <v>-0.14800799999999983</v>
      </c>
    </row>
    <row r="44" spans="1:15" ht="6.75" customHeight="1" x14ac:dyDescent="0.25">
      <c r="A44" s="54">
        <v>46</v>
      </c>
      <c r="G44" s="48"/>
      <c r="J44" s="1"/>
      <c r="K44" s="1"/>
    </row>
    <row r="45" spans="1:15" s="4" customFormat="1" x14ac:dyDescent="0.25">
      <c r="A45" s="54">
        <v>51</v>
      </c>
      <c r="B45" s="45" t="s">
        <v>31</v>
      </c>
      <c r="C45" s="45"/>
      <c r="D45" s="45"/>
      <c r="E45" s="45">
        <f>+'New Year-Full Year'!H51</f>
        <v>10000</v>
      </c>
      <c r="F45" s="45">
        <f>+'New Year-Full Year'!I51</f>
        <v>8000</v>
      </c>
      <c r="G45" s="26">
        <f t="shared" ref="G45" si="16">IF(F45=0,"NA",(+E45-F45)/F45)</f>
        <v>0.25</v>
      </c>
      <c r="H45" s="45" t="e">
        <f>+#REF!</f>
        <v>#REF!</v>
      </c>
      <c r="I45" s="26" t="e">
        <f>IF(H45=0,"NA",(+E45-H45)/H45)</f>
        <v>#REF!</v>
      </c>
      <c r="J45" s="45" t="e">
        <f>+#REF!</f>
        <v>#REF!</v>
      </c>
      <c r="K45" s="45">
        <v>5311</v>
      </c>
      <c r="M45" s="45">
        <f>+'New Year-Full Year'!P51</f>
        <v>3307.41</v>
      </c>
      <c r="N45" s="45">
        <f>+'New Year-Full Year'!Q51</f>
        <v>5333.36</v>
      </c>
      <c r="O45" s="26">
        <f>IF(N45=0,"NA",(+M45-N45)/N45)</f>
        <v>-0.37986372568137156</v>
      </c>
    </row>
    <row r="46" spans="1:15" ht="6.75" customHeight="1" x14ac:dyDescent="0.25">
      <c r="A46" s="54">
        <v>52</v>
      </c>
      <c r="G46" s="48"/>
      <c r="J46" s="1"/>
      <c r="K46" s="1"/>
    </row>
    <row r="47" spans="1:15" x14ac:dyDescent="0.25">
      <c r="A47" s="54">
        <v>53</v>
      </c>
      <c r="B47" s="4" t="s">
        <v>119</v>
      </c>
      <c r="G47" s="48"/>
      <c r="J47" s="1"/>
      <c r="K47" s="1"/>
    </row>
    <row r="48" spans="1:15" x14ac:dyDescent="0.25">
      <c r="A48" s="54">
        <v>54</v>
      </c>
      <c r="C48" s="1" t="s">
        <v>121</v>
      </c>
      <c r="E48" s="46">
        <f>+'New Year-Full Year'!H54</f>
        <v>400</v>
      </c>
      <c r="F48" s="46">
        <f>+'New Year-Full Year'!I54</f>
        <v>300</v>
      </c>
      <c r="G48" s="6">
        <f t="shared" ref="G48:G50" si="17">IF(F48=0,"NA",(+E48-F48)/F48)</f>
        <v>0.33333333333333331</v>
      </c>
      <c r="H48" s="46" t="e">
        <f>+#REF!</f>
        <v>#REF!</v>
      </c>
      <c r="I48" s="6" t="e">
        <f>IF(H48=0,"NA",(+E48-H48)/H48)</f>
        <v>#REF!</v>
      </c>
      <c r="J48" s="46" t="e">
        <f>+#REF!</f>
        <v>#REF!</v>
      </c>
      <c r="K48" s="5">
        <v>-366</v>
      </c>
      <c r="M48" s="46">
        <f>+'New Year-Full Year'!P54</f>
        <v>122.18</v>
      </c>
      <c r="N48" s="46">
        <f>+'New Year-Full Year'!Q54</f>
        <v>200</v>
      </c>
      <c r="O48" s="6">
        <f>IF(N48=0,"NA",(+M48-N48)/N48)</f>
        <v>-0.38909999999999995</v>
      </c>
    </row>
    <row r="49" spans="1:15" x14ac:dyDescent="0.25">
      <c r="A49" s="54">
        <v>55</v>
      </c>
      <c r="C49" s="1" t="s">
        <v>114</v>
      </c>
      <c r="E49" s="46">
        <f>+'New Year-Full Year'!H55</f>
        <v>500</v>
      </c>
      <c r="F49" s="46">
        <f>+'New Year-Full Year'!I55</f>
        <v>300</v>
      </c>
      <c r="G49" s="6">
        <f t="shared" si="17"/>
        <v>0.66666666666666663</v>
      </c>
      <c r="H49" s="46" t="e">
        <f>+#REF!</f>
        <v>#REF!</v>
      </c>
      <c r="I49" s="6" t="e">
        <f>IF(H49=0,"NA",(+E49-H49)/H49)</f>
        <v>#REF!</v>
      </c>
      <c r="J49" s="46" t="e">
        <f>+#REF!</f>
        <v>#REF!</v>
      </c>
      <c r="K49" s="5">
        <v>0</v>
      </c>
      <c r="M49" s="46">
        <f>+'New Year-Full Year'!P55</f>
        <v>273.88</v>
      </c>
      <c r="N49" s="46">
        <f>+'New Year-Full Year'!Q55</f>
        <v>200</v>
      </c>
      <c r="O49" s="6">
        <f>IF(N49=0,"NA",(+M49-N49)/N49)</f>
        <v>0.36939999999999995</v>
      </c>
    </row>
    <row r="50" spans="1:15" s="4" customFormat="1" x14ac:dyDescent="0.25">
      <c r="A50" s="54">
        <v>56</v>
      </c>
      <c r="B50" s="45" t="s">
        <v>113</v>
      </c>
      <c r="C50" s="45"/>
      <c r="D50" s="45"/>
      <c r="E50" s="45">
        <f>SUM(E48:E49)</f>
        <v>900</v>
      </c>
      <c r="F50" s="45">
        <f>SUM(F48:F49)</f>
        <v>600</v>
      </c>
      <c r="G50" s="26">
        <f t="shared" si="17"/>
        <v>0.5</v>
      </c>
      <c r="H50" s="45" t="e">
        <f>SUM(H48:H49)</f>
        <v>#REF!</v>
      </c>
      <c r="I50" s="26" t="e">
        <f>IF(H50=0,"NA",(+E50-H50)/H50)</f>
        <v>#REF!</v>
      </c>
      <c r="J50" s="45" t="e">
        <f>SUM(J48:J49)</f>
        <v>#REF!</v>
      </c>
      <c r="K50" s="45">
        <f>SUM(K48:K49)</f>
        <v>-366</v>
      </c>
      <c r="M50" s="45">
        <f>SUM(M48:M49)</f>
        <v>396.06</v>
      </c>
      <c r="N50" s="45">
        <f>SUM(N48:N49)</f>
        <v>400</v>
      </c>
      <c r="O50" s="26">
        <f>IF(N50=0,"NA",(+M50-N50)/N50)</f>
        <v>-9.8499999999999942E-3</v>
      </c>
    </row>
    <row r="51" spans="1:15" ht="5.25" customHeight="1" x14ac:dyDescent="0.25">
      <c r="A51" s="54">
        <v>57</v>
      </c>
      <c r="G51" s="48"/>
      <c r="J51" s="1"/>
      <c r="K51" s="1"/>
    </row>
    <row r="52" spans="1:15" x14ac:dyDescent="0.25">
      <c r="A52" s="54">
        <v>58</v>
      </c>
      <c r="B52" s="45" t="s">
        <v>32</v>
      </c>
      <c r="C52" s="28"/>
      <c r="D52" s="28"/>
      <c r="E52" s="57">
        <f>+'New Year-Full Year'!H58</f>
        <v>200</v>
      </c>
      <c r="F52" s="57">
        <f>+'New Year-Full Year'!I58</f>
        <v>200</v>
      </c>
      <c r="G52" s="26">
        <f>IF(F52=0,"NA",(+E52-F52)/F52)</f>
        <v>0</v>
      </c>
      <c r="H52" s="58" t="e">
        <f>+#REF!</f>
        <v>#REF!</v>
      </c>
      <c r="I52" s="26" t="e">
        <f>IF(H52=0,"NA",(+E52-H52)/H52)</f>
        <v>#REF!</v>
      </c>
      <c r="J52" s="58" t="e">
        <f>+#REF!</f>
        <v>#REF!</v>
      </c>
      <c r="K52" s="29">
        <v>164</v>
      </c>
      <c r="M52" s="57">
        <f>+'New Year-Full Year'!P58</f>
        <v>200</v>
      </c>
      <c r="N52" s="57">
        <f>+'New Year-Full Year'!Q58</f>
        <v>133.36000000000001</v>
      </c>
      <c r="O52" s="26">
        <f>IF(N52=0,"NA",(+M52-N52)/N52)</f>
        <v>0.49970005998800227</v>
      </c>
    </row>
    <row r="53" spans="1:15" ht="6" customHeight="1" x14ac:dyDescent="0.25">
      <c r="A53" s="54">
        <v>59</v>
      </c>
      <c r="G53" s="48"/>
      <c r="J53" s="1"/>
      <c r="K53" s="1"/>
    </row>
    <row r="54" spans="1:15" x14ac:dyDescent="0.25">
      <c r="A54" s="54">
        <v>60</v>
      </c>
      <c r="B54" s="4" t="s">
        <v>33</v>
      </c>
      <c r="G54" s="48"/>
      <c r="J54" s="1"/>
      <c r="K54" s="1"/>
    </row>
    <row r="55" spans="1:15" x14ac:dyDescent="0.25">
      <c r="A55" s="54">
        <v>61</v>
      </c>
      <c r="C55" s="1" t="s">
        <v>34</v>
      </c>
      <c r="E55" s="46">
        <f>+'New Year-Full Year'!H61</f>
        <v>200</v>
      </c>
      <c r="F55" s="46">
        <f>+'New Year-Full Year'!I61</f>
        <v>200</v>
      </c>
      <c r="G55" s="6">
        <f t="shared" ref="G55:G60" si="18">IF(F55=0,"NA",(+E55-F55)/F55)</f>
        <v>0</v>
      </c>
      <c r="H55" s="46" t="e">
        <f>+#REF!</f>
        <v>#REF!</v>
      </c>
      <c r="I55" s="6" t="e">
        <f t="shared" ref="I55:I60" si="19">IF(H55=0,"NA",(+E55-H55)/H55)</f>
        <v>#REF!</v>
      </c>
      <c r="J55" s="46" t="e">
        <f>+#REF!</f>
        <v>#REF!</v>
      </c>
      <c r="K55" s="5">
        <v>350</v>
      </c>
      <c r="M55" s="46">
        <f>+'New Year-Full Year'!P61</f>
        <v>0</v>
      </c>
      <c r="N55" s="46">
        <f>+'New Year-Full Year'!Q61</f>
        <v>0</v>
      </c>
      <c r="O55" s="6" t="str">
        <f t="shared" ref="O55:O60" si="20">IF(N55=0,"NA",(+M55-N55)/N55)</f>
        <v>NA</v>
      </c>
    </row>
    <row r="56" spans="1:15" x14ac:dyDescent="0.25">
      <c r="A56" s="54">
        <v>62</v>
      </c>
      <c r="C56" s="1" t="s">
        <v>35</v>
      </c>
      <c r="E56" s="46">
        <f>+'New Year-Full Year'!H62</f>
        <v>800</v>
      </c>
      <c r="F56" s="46">
        <f>+'New Year-Full Year'!I62</f>
        <v>800</v>
      </c>
      <c r="G56" s="6">
        <f t="shared" si="18"/>
        <v>0</v>
      </c>
      <c r="H56" s="46" t="e">
        <f>+#REF!</f>
        <v>#REF!</v>
      </c>
      <c r="I56" s="6" t="e">
        <f t="shared" si="19"/>
        <v>#REF!</v>
      </c>
      <c r="J56" s="46" t="e">
        <f>+#REF!</f>
        <v>#REF!</v>
      </c>
      <c r="K56" s="5">
        <v>1094</v>
      </c>
      <c r="M56" s="46">
        <f>+'New Year-Full Year'!P62</f>
        <v>0</v>
      </c>
      <c r="N56" s="46">
        <f>+'New Year-Full Year'!Q62</f>
        <v>0</v>
      </c>
      <c r="O56" s="6" t="str">
        <f t="shared" si="20"/>
        <v>NA</v>
      </c>
    </row>
    <row r="57" spans="1:15" x14ac:dyDescent="0.25">
      <c r="A57" s="54">
        <v>63</v>
      </c>
      <c r="C57" s="1" t="s">
        <v>36</v>
      </c>
      <c r="E57" s="46">
        <f>+'New Year-Full Year'!H63</f>
        <v>800</v>
      </c>
      <c r="F57" s="46">
        <f>+'New Year-Full Year'!I63</f>
        <v>800</v>
      </c>
      <c r="G57" s="6">
        <f t="shared" si="18"/>
        <v>0</v>
      </c>
      <c r="H57" s="46" t="e">
        <f>+#REF!</f>
        <v>#REF!</v>
      </c>
      <c r="I57" s="6" t="e">
        <f t="shared" si="19"/>
        <v>#REF!</v>
      </c>
      <c r="J57" s="46" t="e">
        <f>+#REF!</f>
        <v>#REF!</v>
      </c>
      <c r="K57" s="5">
        <v>1261</v>
      </c>
      <c r="M57" s="46">
        <f>+'New Year-Full Year'!P63</f>
        <v>900</v>
      </c>
      <c r="N57" s="46">
        <f>+'New Year-Full Year'!Q63</f>
        <v>800</v>
      </c>
      <c r="O57" s="6">
        <f t="shared" si="20"/>
        <v>0.125</v>
      </c>
    </row>
    <row r="58" spans="1:15" x14ac:dyDescent="0.25">
      <c r="A58" s="54">
        <v>64</v>
      </c>
      <c r="C58" s="1" t="s">
        <v>37</v>
      </c>
      <c r="E58" s="46">
        <f>+'New Year-Full Year'!H64</f>
        <v>400</v>
      </c>
      <c r="F58" s="46">
        <f>+'New Year-Full Year'!I64</f>
        <v>400</v>
      </c>
      <c r="G58" s="6">
        <f t="shared" si="18"/>
        <v>0</v>
      </c>
      <c r="H58" s="46" t="e">
        <f>+#REF!</f>
        <v>#REF!</v>
      </c>
      <c r="I58" s="6" t="e">
        <f t="shared" si="19"/>
        <v>#REF!</v>
      </c>
      <c r="J58" s="46" t="e">
        <f>+#REF!</f>
        <v>#REF!</v>
      </c>
      <c r="K58" s="5">
        <v>422</v>
      </c>
      <c r="M58" s="46">
        <f>+'New Year-Full Year'!P64</f>
        <v>19.899999999999999</v>
      </c>
      <c r="N58" s="46">
        <f>+'New Year-Full Year'!Q64</f>
        <v>266.64999999999998</v>
      </c>
      <c r="O58" s="6">
        <f t="shared" si="20"/>
        <v>-0.92537033564597782</v>
      </c>
    </row>
    <row r="59" spans="1:15" x14ac:dyDescent="0.25">
      <c r="A59" s="54">
        <v>65</v>
      </c>
      <c r="C59" s="1" t="s">
        <v>38</v>
      </c>
      <c r="E59" s="46">
        <f>+'New Year-Full Year'!H65</f>
        <v>800</v>
      </c>
      <c r="F59" s="46">
        <f>+'New Year-Full Year'!I65</f>
        <v>800</v>
      </c>
      <c r="G59" s="6">
        <f t="shared" si="18"/>
        <v>0</v>
      </c>
      <c r="H59" s="46" t="e">
        <f>+#REF!</f>
        <v>#REF!</v>
      </c>
      <c r="I59" s="6" t="e">
        <f t="shared" si="19"/>
        <v>#REF!</v>
      </c>
      <c r="J59" s="46" t="e">
        <f>+#REF!</f>
        <v>#REF!</v>
      </c>
      <c r="K59" s="5">
        <v>1084</v>
      </c>
      <c r="M59" s="46">
        <f>+'New Year-Full Year'!P65</f>
        <v>508</v>
      </c>
      <c r="N59" s="46">
        <f>+'New Year-Full Year'!Q65</f>
        <v>533.36</v>
      </c>
      <c r="O59" s="6">
        <f t="shared" si="20"/>
        <v>-4.7547622618869079E-2</v>
      </c>
    </row>
    <row r="60" spans="1:15" s="4" customFormat="1" x14ac:dyDescent="0.25">
      <c r="A60" s="54">
        <v>66</v>
      </c>
      <c r="B60" s="45" t="s">
        <v>39</v>
      </c>
      <c r="C60" s="45"/>
      <c r="D60" s="45"/>
      <c r="E60" s="45">
        <f>SUM(E55:E59)</f>
        <v>3000</v>
      </c>
      <c r="F60" s="45">
        <f>SUM(F55:F59)</f>
        <v>3000</v>
      </c>
      <c r="G60" s="26">
        <f t="shared" si="18"/>
        <v>0</v>
      </c>
      <c r="H60" s="45" t="e">
        <f>SUM(H55:H59)</f>
        <v>#REF!</v>
      </c>
      <c r="I60" s="26" t="e">
        <f t="shared" si="19"/>
        <v>#REF!</v>
      </c>
      <c r="J60" s="45" t="e">
        <f>SUM(J55:J59)</f>
        <v>#REF!</v>
      </c>
      <c r="K60" s="45">
        <f>SUM(K55:K59)</f>
        <v>4211</v>
      </c>
      <c r="M60" s="45">
        <f>SUM(M55:M59)</f>
        <v>1427.9</v>
      </c>
      <c r="N60" s="45">
        <f>SUM(N55:N59)</f>
        <v>1600.0100000000002</v>
      </c>
      <c r="O60" s="26">
        <f t="shared" si="20"/>
        <v>-0.10756807769951444</v>
      </c>
    </row>
    <row r="61" spans="1:15" ht="6" customHeight="1" x14ac:dyDescent="0.25">
      <c r="A61" s="54">
        <v>67</v>
      </c>
      <c r="G61" s="48"/>
      <c r="J61" s="1"/>
      <c r="K61" s="1"/>
    </row>
    <row r="62" spans="1:15" x14ac:dyDescent="0.25">
      <c r="A62" s="54">
        <v>68</v>
      </c>
      <c r="B62" s="4" t="s">
        <v>40</v>
      </c>
      <c r="G62" s="48"/>
      <c r="J62" s="1"/>
      <c r="K62" s="1"/>
    </row>
    <row r="63" spans="1:15" x14ac:dyDescent="0.25">
      <c r="A63" s="54">
        <v>69</v>
      </c>
      <c r="C63" s="1" t="s">
        <v>41</v>
      </c>
      <c r="E63" s="46">
        <f>+'New Year-Full Year'!H69</f>
        <v>5000</v>
      </c>
      <c r="F63" s="46">
        <f>+'New Year-Full Year'!I69</f>
        <v>5000</v>
      </c>
      <c r="G63" s="6">
        <f t="shared" ref="G63:G70" si="21">IF(F63=0,"NA",(+E63-F63)/F63)</f>
        <v>0</v>
      </c>
      <c r="H63" s="46" t="e">
        <f>+#REF!</f>
        <v>#REF!</v>
      </c>
      <c r="I63" s="6" t="e">
        <f t="shared" ref="I63:I70" si="22">IF(H63=0,"NA",(+E63-H63)/H63)</f>
        <v>#REF!</v>
      </c>
      <c r="J63" s="46" t="e">
        <f>+#REF!</f>
        <v>#REF!</v>
      </c>
      <c r="K63" s="5">
        <v>6352</v>
      </c>
      <c r="M63" s="46">
        <f>+'New Year-Full Year'!P69</f>
        <v>5277.7</v>
      </c>
      <c r="N63" s="46">
        <f>+'New Year-Full Year'!Q69</f>
        <v>3333.36</v>
      </c>
      <c r="O63" s="6">
        <f t="shared" ref="O63:O70" si="23">IF(N63=0,"NA",(+M63-N63)/N63)</f>
        <v>0.58329733362133096</v>
      </c>
    </row>
    <row r="64" spans="1:15" x14ac:dyDescent="0.25">
      <c r="A64" s="54">
        <v>70</v>
      </c>
      <c r="C64" s="1" t="s">
        <v>42</v>
      </c>
      <c r="E64" s="46">
        <f>+'New Year-Full Year'!H70</f>
        <v>4500</v>
      </c>
      <c r="F64" s="46">
        <f>+'New Year-Full Year'!I70</f>
        <v>4500</v>
      </c>
      <c r="G64" s="6">
        <f t="shared" si="21"/>
        <v>0</v>
      </c>
      <c r="H64" s="46" t="e">
        <f>+#REF!</f>
        <v>#REF!</v>
      </c>
      <c r="I64" s="6" t="e">
        <f t="shared" si="22"/>
        <v>#REF!</v>
      </c>
      <c r="J64" s="46" t="e">
        <f>+#REF!</f>
        <v>#REF!</v>
      </c>
      <c r="K64" s="5">
        <v>5514</v>
      </c>
      <c r="M64" s="46">
        <f>+'New Year-Full Year'!P70</f>
        <v>3344.08</v>
      </c>
      <c r="N64" s="46">
        <f>+'New Year-Full Year'!Q70</f>
        <v>3000</v>
      </c>
      <c r="O64" s="6">
        <f t="shared" si="23"/>
        <v>0.11469333333333331</v>
      </c>
    </row>
    <row r="65" spans="1:17" x14ac:dyDescent="0.25">
      <c r="A65" s="54">
        <v>71</v>
      </c>
      <c r="C65" s="1" t="s">
        <v>122</v>
      </c>
      <c r="E65" s="46">
        <f>+'New Year-Full Year'!H71</f>
        <v>500</v>
      </c>
      <c r="F65" s="46">
        <f>+'New Year-Full Year'!I71</f>
        <v>500</v>
      </c>
      <c r="G65" s="6">
        <f t="shared" si="21"/>
        <v>0</v>
      </c>
      <c r="H65" s="46" t="e">
        <f>+#REF!</f>
        <v>#REF!</v>
      </c>
      <c r="I65" s="6" t="e">
        <f t="shared" si="22"/>
        <v>#REF!</v>
      </c>
      <c r="J65" s="46" t="e">
        <f>+#REF!</f>
        <v>#REF!</v>
      </c>
      <c r="K65" s="5">
        <v>814</v>
      </c>
      <c r="M65" s="46">
        <f>+'New Year-Full Year'!P71</f>
        <v>421</v>
      </c>
      <c r="N65" s="46">
        <f>+'New Year-Full Year'!Q71</f>
        <v>333.36</v>
      </c>
      <c r="O65" s="6">
        <f t="shared" si="23"/>
        <v>0.26289896808255336</v>
      </c>
    </row>
    <row r="66" spans="1:17" x14ac:dyDescent="0.25">
      <c r="A66" s="54">
        <v>73</v>
      </c>
      <c r="C66" s="1" t="s">
        <v>43</v>
      </c>
      <c r="E66" s="46">
        <f>+'New Year-Full Year'!H72</f>
        <v>19000</v>
      </c>
      <c r="F66" s="46">
        <f>+'New Year-Full Year'!I72</f>
        <v>19000</v>
      </c>
      <c r="G66" s="6">
        <f t="shared" si="21"/>
        <v>0</v>
      </c>
      <c r="H66" s="46" t="e">
        <f>+#REF!</f>
        <v>#REF!</v>
      </c>
      <c r="I66" s="6" t="e">
        <f t="shared" si="22"/>
        <v>#REF!</v>
      </c>
      <c r="J66" s="46" t="e">
        <f>+#REF!</f>
        <v>#REF!</v>
      </c>
      <c r="K66" s="5">
        <v>21235</v>
      </c>
      <c r="M66" s="46">
        <f>+'New Year-Full Year'!P72</f>
        <v>12838.72</v>
      </c>
      <c r="N66" s="46">
        <f>+'New Year-Full Year'!Q72</f>
        <v>12666.64</v>
      </c>
      <c r="O66" s="6">
        <f t="shared" si="23"/>
        <v>1.358529175850896E-2</v>
      </c>
    </row>
    <row r="67" spans="1:17" x14ac:dyDescent="0.25">
      <c r="A67" s="54">
        <v>74</v>
      </c>
      <c r="C67" s="1" t="s">
        <v>44</v>
      </c>
      <c r="E67" s="46">
        <f>+'New Year-Full Year'!H73</f>
        <v>700</v>
      </c>
      <c r="F67" s="46">
        <f>+'New Year-Full Year'!I73</f>
        <v>700</v>
      </c>
      <c r="G67" s="6">
        <f t="shared" si="21"/>
        <v>0</v>
      </c>
      <c r="H67" s="46" t="e">
        <f>+#REF!</f>
        <v>#REF!</v>
      </c>
      <c r="I67" s="6" t="e">
        <f t="shared" si="22"/>
        <v>#REF!</v>
      </c>
      <c r="J67" s="46" t="e">
        <f>+#REF!</f>
        <v>#REF!</v>
      </c>
      <c r="K67" s="5">
        <v>1645</v>
      </c>
      <c r="M67" s="46">
        <f>+'New Year-Full Year'!P73</f>
        <v>426.91</v>
      </c>
      <c r="N67" s="46">
        <f>+'New Year-Full Year'!Q73</f>
        <v>466.64</v>
      </c>
      <c r="O67" s="6">
        <f t="shared" si="23"/>
        <v>-8.5140579461683449E-2</v>
      </c>
    </row>
    <row r="68" spans="1:17" x14ac:dyDescent="0.25">
      <c r="A68" s="54">
        <v>75</v>
      </c>
      <c r="C68" s="1" t="s">
        <v>45</v>
      </c>
      <c r="E68" s="46">
        <f>+'New Year-Full Year'!H74</f>
        <v>1600</v>
      </c>
      <c r="F68" s="46">
        <f>+'New Year-Full Year'!I74</f>
        <v>1600</v>
      </c>
      <c r="G68" s="6">
        <f t="shared" si="21"/>
        <v>0</v>
      </c>
      <c r="H68" s="46" t="e">
        <f>+#REF!</f>
        <v>#REF!</v>
      </c>
      <c r="I68" s="6" t="e">
        <f t="shared" si="22"/>
        <v>#REF!</v>
      </c>
      <c r="J68" s="46" t="e">
        <f>+#REF!</f>
        <v>#REF!</v>
      </c>
      <c r="K68" s="5">
        <v>0</v>
      </c>
      <c r="M68" s="46">
        <f>+'New Year-Full Year'!P74</f>
        <v>969.8</v>
      </c>
      <c r="N68" s="46">
        <f>+'New Year-Full Year'!Q74</f>
        <v>1066.6400000000001</v>
      </c>
      <c r="O68" s="6">
        <f t="shared" si="23"/>
        <v>-9.0789769744243728E-2</v>
      </c>
    </row>
    <row r="69" spans="1:17" s="4" customFormat="1" x14ac:dyDescent="0.25">
      <c r="A69" s="54">
        <v>76</v>
      </c>
      <c r="B69" s="45" t="s">
        <v>47</v>
      </c>
      <c r="C69" s="45"/>
      <c r="D69" s="45"/>
      <c r="E69" s="45">
        <f>SUM(E63:E68)</f>
        <v>31300</v>
      </c>
      <c r="F69" s="45">
        <f>SUM(F63:F68)</f>
        <v>31300</v>
      </c>
      <c r="G69" s="26">
        <f t="shared" si="21"/>
        <v>0</v>
      </c>
      <c r="H69" s="45" t="e">
        <f>SUM(H63:H68)</f>
        <v>#REF!</v>
      </c>
      <c r="I69" s="26" t="e">
        <f t="shared" si="22"/>
        <v>#REF!</v>
      </c>
      <c r="J69" s="45" t="e">
        <f>SUM(J63:J68)</f>
        <v>#REF!</v>
      </c>
      <c r="K69" s="45">
        <f>SUM(K63:K68)</f>
        <v>35560</v>
      </c>
      <c r="M69" s="45">
        <f>SUM(M63:M68)</f>
        <v>23278.21</v>
      </c>
      <c r="N69" s="45">
        <f>SUM(N63:N68)</f>
        <v>20866.64</v>
      </c>
      <c r="O69" s="26">
        <f t="shared" si="23"/>
        <v>0.11557059497839613</v>
      </c>
    </row>
    <row r="70" spans="1:17" x14ac:dyDescent="0.25">
      <c r="A70" s="54">
        <v>77</v>
      </c>
      <c r="B70" s="45" t="s">
        <v>112</v>
      </c>
      <c r="C70" s="30"/>
      <c r="D70" s="30"/>
      <c r="E70" s="45">
        <f>+E34+E36+E43+E45+E52+E60+E69+E50</f>
        <v>59690</v>
      </c>
      <c r="F70" s="45">
        <f>+F34+F36+F43+F45+F52+F60+F69+F50</f>
        <v>57390</v>
      </c>
      <c r="G70" s="26">
        <f t="shared" si="21"/>
        <v>4.007666840913051E-2</v>
      </c>
      <c r="H70" s="45" t="e">
        <f>+H34+H36+H43+H45+H52+H60+H69+H50</f>
        <v>#REF!</v>
      </c>
      <c r="I70" s="26" t="e">
        <f t="shared" si="22"/>
        <v>#REF!</v>
      </c>
      <c r="J70" s="45" t="e">
        <f>+J34+J36+J43+J45+J52+J60+J69+J50</f>
        <v>#REF!</v>
      </c>
      <c r="K70" s="45">
        <f>+K34+K36+K43+K45+K52+K60+K69+K50</f>
        <v>62308</v>
      </c>
      <c r="M70" s="45">
        <f>+M34+M36+M43+M45+M52+M60+M69+M50</f>
        <v>36232.479999999996</v>
      </c>
      <c r="N70" s="45">
        <f>+N34+N36+N43+N45+N52+N60+N69+N50</f>
        <v>37795.01</v>
      </c>
      <c r="O70" s="26">
        <f t="shared" si="23"/>
        <v>-4.1342230098629584E-2</v>
      </c>
    </row>
    <row r="71" spans="1:17" ht="8.25" customHeight="1" x14ac:dyDescent="0.25">
      <c r="A71" s="54">
        <v>78</v>
      </c>
      <c r="G71" s="48"/>
      <c r="J71" s="1"/>
      <c r="K71" s="1"/>
    </row>
    <row r="72" spans="1:17" ht="18.75" x14ac:dyDescent="0.25">
      <c r="A72" s="54">
        <v>79</v>
      </c>
      <c r="B72" s="10" t="s">
        <v>46</v>
      </c>
      <c r="G72" s="48"/>
      <c r="J72" s="1"/>
      <c r="K72" s="1"/>
    </row>
    <row r="73" spans="1:17" hidden="1" x14ac:dyDescent="0.25">
      <c r="A73" s="54">
        <v>80</v>
      </c>
      <c r="E73" s="46"/>
      <c r="F73" s="46"/>
      <c r="G73" s="48"/>
      <c r="J73" s="1"/>
      <c r="K73" s="1"/>
      <c r="M73" s="46"/>
      <c r="N73" s="46"/>
    </row>
    <row r="74" spans="1:17" x14ac:dyDescent="0.25">
      <c r="A74" s="54">
        <v>81</v>
      </c>
      <c r="C74" s="102" t="s">
        <v>172</v>
      </c>
      <c r="D74" s="102"/>
      <c r="E74" s="46">
        <f>+'New Year-Full Year'!H$80+'New Year-Full Year'!I$90+'New Year-Full Year'!I$95+'New Year-Full Year'!I$100+'New Year-Full Year'!I$109+'New Year-Full Year'!I$111+'New Year-Full Year'!I$112+'New Year-Full Year'!I$113+'New Year-Full Year'!I$119+'New Year-Full Year'!I$120+'New Year-Full Year'!I$125</f>
        <v>235732</v>
      </c>
      <c r="F74" s="46">
        <f>+'New Year-Full Year'!I$80+'New Year-Full Year'!J$90+'New Year-Full Year'!J$95+'New Year-Full Year'!J$100+'New Year-Full Year'!J$109+'New Year-Full Year'!J$111+'New Year-Full Year'!J$112+'New Year-Full Year'!J$113+'New Year-Full Year'!J$119+'New Year-Full Year'!J$120+'New Year-Full Year'!J$125</f>
        <v>72787.002315743564</v>
      </c>
      <c r="G74" s="6">
        <f t="shared" ref="G74:G81" si="24">IF(F74=0,"NA",(+E74-F74)/F74)</f>
        <v>2.2386551513334134</v>
      </c>
      <c r="H74" s="46" t="e">
        <f>+#REF!</f>
        <v>#REF!</v>
      </c>
      <c r="I74" s="6" t="e">
        <f t="shared" ref="I74:I81" si="25">IF(H74=0,"NA",(+E74-H74)/H74)</f>
        <v>#REF!</v>
      </c>
      <c r="J74" s="46" t="e">
        <f>+#REF!</f>
        <v>#REF!</v>
      </c>
      <c r="K74" s="5">
        <v>87117</v>
      </c>
      <c r="M74" s="46">
        <f>+'New Year-Full Year'!P$80+'New Year-Full Year'!Q$90+'New Year-Full Year'!Q$95+'New Year-Full Year'!Q$100+'New Year-Full Year'!Q$109+'New Year-Full Year'!Q$111+'New Year-Full Year'!Q$112+'New Year-Full Year'!Q$113+'New Year-Full Year'!Q$119+'New Year-Full Year'!Q$120+'New Year-Full Year'!Q$125</f>
        <v>165076.33999999997</v>
      </c>
      <c r="N74" s="46">
        <f>+'New Year-Full Year'!Q$80+'New Year-Full Year'!R$90+'New Year-Full Year'!R$95+'New Year-Full Year'!R$100+'New Year-Full Year'!R$109+'New Year-Full Year'!R$111+'New Year-Full Year'!R$112+'New Year-Full Year'!R$113+'New Year-Full Year'!R$119+'New Year-Full Year'!R$120+'New Year-Full Year'!R$125</f>
        <v>48524.363056129565</v>
      </c>
      <c r="O74" s="6">
        <f t="shared" ref="O74:O81" si="26">IF(N74=0,"NA",(+M74-N74)/N74)</f>
        <v>2.4019269827210565</v>
      </c>
      <c r="Q74" s="65"/>
    </row>
    <row r="75" spans="1:17" x14ac:dyDescent="0.25">
      <c r="C75" s="102" t="s">
        <v>173</v>
      </c>
      <c r="D75" s="102"/>
      <c r="E75" s="46"/>
      <c r="F75" s="46"/>
      <c r="G75" s="6"/>
      <c r="H75" s="46"/>
      <c r="I75" s="6"/>
      <c r="J75" s="46"/>
      <c r="K75" s="5"/>
      <c r="M75" s="46"/>
      <c r="N75" s="46"/>
      <c r="O75" s="6"/>
      <c r="Q75" s="65"/>
    </row>
    <row r="76" spans="1:17" ht="31.5" customHeight="1" x14ac:dyDescent="0.25">
      <c r="A76" s="54">
        <v>82</v>
      </c>
      <c r="C76" s="102" t="s">
        <v>174</v>
      </c>
      <c r="D76" s="102"/>
      <c r="E76" s="46">
        <f>+'New Year-Full Year'!H$80+'New Year-Full Year'!H$90+'New Year-Full Year'!H$95+'New Year-Full Year'!H$100+'New Year-Full Year'!H$109+'New Year-Full Year'!H$111+'New Year-Full Year'!H$112+'New Year-Full Year'!H$113+'New Year-Full Year'!H$119+'New Year-Full Year'!H$120+'New Year-Full Year'!H$125-E74</f>
        <v>-220</v>
      </c>
      <c r="F76" s="46">
        <f>+'New Year-Full Year'!I$80+'New Year-Full Year'!I$90+'New Year-Full Year'!I$95+'New Year-Full Year'!I$100+'New Year-Full Year'!I$109+'New Year-Full Year'!I$111+'New Year-Full Year'!I$112+'New Year-Full Year'!I$113+'New Year-Full Year'!I$119+'New Year-Full Year'!I$120+'New Year-Full Year'!I$125-F74</f>
        <v>163206.99768425644</v>
      </c>
      <c r="G76" s="6">
        <f t="shared" si="24"/>
        <v>-1.0013479814169832</v>
      </c>
      <c r="H76" s="46" t="e">
        <f>+#REF!</f>
        <v>#REF!</v>
      </c>
      <c r="I76" s="6" t="e">
        <f t="shared" si="25"/>
        <v>#REF!</v>
      </c>
      <c r="J76" s="46" t="e">
        <f>+#REF!</f>
        <v>#REF!</v>
      </c>
      <c r="K76" s="5">
        <v>5500</v>
      </c>
      <c r="M76" s="46">
        <f>+'New Year-Full Year'!P$80+'New Year-Full Year'!P$90+'New Year-Full Year'!P$95+'New Year-Full Year'!P$100+'New Year-Full Year'!P$109+'New Year-Full Year'!P$111+'New Year-Full Year'!P$112+'New Year-Full Year'!P$113+'New Year-Full Year'!P$119+'New Year-Full Year'!P$120+'New Year-Full Year'!P$125-M74</f>
        <v>-3245.1299999999464</v>
      </c>
      <c r="N76" s="46">
        <f>+'New Year-Full Year'!Q$80+'New Year-Full Year'!Q$90+'New Year-Full Year'!Q$95+'New Year-Full Year'!Q$100+'New Year-Full Year'!Q$109+'New Year-Full Year'!Q$111+'New Year-Full Year'!Q$112+'New Year-Full Year'!Q$113+'New Year-Full Year'!Q$119+'New Year-Full Year'!Q$120+'New Year-Full Year'!Q$125-N74</f>
        <v>108804.9169438704</v>
      </c>
      <c r="O76" s="6">
        <f t="shared" si="26"/>
        <v>-1.0298252146240232</v>
      </c>
    </row>
    <row r="77" spans="1:17" x14ac:dyDescent="0.25">
      <c r="C77" s="102" t="s">
        <v>175</v>
      </c>
      <c r="D77" s="102"/>
      <c r="E77" s="46"/>
      <c r="F77" s="46"/>
      <c r="G77" s="6"/>
      <c r="H77" s="46"/>
      <c r="I77" s="6"/>
      <c r="J77" s="46"/>
      <c r="K77" s="5"/>
      <c r="M77" s="46"/>
      <c r="N77" s="46"/>
      <c r="O77" s="6"/>
    </row>
    <row r="78" spans="1:17" x14ac:dyDescent="0.25">
      <c r="A78" s="54">
        <v>83</v>
      </c>
      <c r="C78" s="1" t="s">
        <v>163</v>
      </c>
      <c r="E78" s="46">
        <f>+'New Year-Full Year'!H81+'New Year-Full Year'!H83+'New Year-Full Year'!H84+'New Year-Full Year'!H86+'New Year-Full Year'!H91+'New Year-Full Year'!H96+'New Year-Full Year'!H101+'New Year-Full Year'!H102+'New Year-Full Year'!H103+'New Year-Full Year'!H104+'New Year-Full Year'!H105+'New Year-Full Year'!H121+'New Year-Full Year'!H122+'New Year-Full Year'!H126+'New Year-Full Year'!H127</f>
        <v>61132</v>
      </c>
      <c r="F78" s="46">
        <f>+'New Year-Full Year'!I81+'New Year-Full Year'!I83+'New Year-Full Year'!I84+'New Year-Full Year'!I86+'New Year-Full Year'!I91+'New Year-Full Year'!I96+'New Year-Full Year'!I101+'New Year-Full Year'!I102+'New Year-Full Year'!I103+'New Year-Full Year'!I104+'New Year-Full Year'!I105+'New Year-Full Year'!I121+'New Year-Full Year'!I122+'New Year-Full Year'!I126+'New Year-Full Year'!I127</f>
        <v>62668</v>
      </c>
      <c r="G78" s="6">
        <f t="shared" si="24"/>
        <v>-2.4510116806025405E-2</v>
      </c>
      <c r="H78" s="46" t="e">
        <f>+#REF!</f>
        <v>#REF!</v>
      </c>
      <c r="I78" s="6" t="e">
        <f t="shared" si="25"/>
        <v>#REF!</v>
      </c>
      <c r="J78" s="46" t="e">
        <f>+#REF!</f>
        <v>#REF!</v>
      </c>
      <c r="K78" s="5">
        <v>33221</v>
      </c>
      <c r="M78" s="46">
        <f>+'New Year-Full Year'!P81+'New Year-Full Year'!P83+'New Year-Full Year'!P84+'New Year-Full Year'!P86+'New Year-Full Year'!P91+'New Year-Full Year'!P96+'New Year-Full Year'!P101+'New Year-Full Year'!P102+'New Year-Full Year'!P103+'New Year-Full Year'!P104+'New Year-Full Year'!P105+'New Year-Full Year'!P121+'New Year-Full Year'!P122+'New Year-Full Year'!P126+'New Year-Full Year'!P127</f>
        <v>27368.070000000003</v>
      </c>
      <c r="N78" s="46">
        <f>+'New Year-Full Year'!Q81+'New Year-Full Year'!Q83+'New Year-Full Year'!Q84+'New Year-Full Year'!Q86+'New Year-Full Year'!Q91+'New Year-Full Year'!Q96+'New Year-Full Year'!Q101+'New Year-Full Year'!Q102+'New Year-Full Year'!Q103+'New Year-Full Year'!Q104+'New Year-Full Year'!Q105+'New Year-Full Year'!Q121+'New Year-Full Year'!Q122+'New Year-Full Year'!Q126+'New Year-Full Year'!Q127</f>
        <v>42064.53</v>
      </c>
      <c r="O78" s="6">
        <f t="shared" si="26"/>
        <v>-0.34937891853302522</v>
      </c>
    </row>
    <row r="79" spans="1:17" x14ac:dyDescent="0.25">
      <c r="A79" s="54">
        <v>84</v>
      </c>
      <c r="C79" s="1" t="s">
        <v>164</v>
      </c>
      <c r="E79" s="46">
        <f>+'New Year-Full Year'!H128+'New Year-Full Year'!H110+'New Year-Full Year'!H115</f>
        <v>3500</v>
      </c>
      <c r="F79" s="46">
        <f>+'New Year-Full Year'!I128+'New Year-Full Year'!I110+'New Year-Full Year'!I115</f>
        <v>3500</v>
      </c>
      <c r="G79" s="6">
        <f t="shared" si="24"/>
        <v>0</v>
      </c>
      <c r="H79" s="46" t="e">
        <f>+#REF!</f>
        <v>#REF!</v>
      </c>
      <c r="I79" s="6" t="e">
        <f t="shared" si="25"/>
        <v>#REF!</v>
      </c>
      <c r="J79" s="46" t="e">
        <f>+#REF!</f>
        <v>#REF!</v>
      </c>
      <c r="K79" s="5">
        <v>5289</v>
      </c>
      <c r="M79" s="46">
        <f>+'New Year-Full Year'!P128+'New Year-Full Year'!P110+'New Year-Full Year'!P115</f>
        <v>1500</v>
      </c>
      <c r="N79" s="46">
        <f>+'New Year-Full Year'!Q128+'New Year-Full Year'!Q110+'New Year-Full Year'!Q115</f>
        <v>2333.36</v>
      </c>
      <c r="O79" s="6">
        <f t="shared" si="26"/>
        <v>-0.35715020399766861</v>
      </c>
    </row>
    <row r="80" spans="1:17" x14ac:dyDescent="0.25">
      <c r="C80" s="1" t="s">
        <v>170</v>
      </c>
      <c r="E80" s="46">
        <f>+'New Year-Full Year'!H124</f>
        <v>4370</v>
      </c>
      <c r="F80" s="46">
        <f>+'New Year-Full Year'!I124</f>
        <v>4370</v>
      </c>
      <c r="G80" s="6">
        <f t="shared" si="24"/>
        <v>0</v>
      </c>
      <c r="H80" s="46"/>
      <c r="I80" s="6"/>
      <c r="J80" s="46"/>
      <c r="K80" s="5"/>
      <c r="M80" s="46">
        <f>+'New Year-Full Year'!P124</f>
        <v>460</v>
      </c>
      <c r="N80" s="46">
        <f>+'New Year-Full Year'!Q124</f>
        <v>2913.36</v>
      </c>
      <c r="O80" s="6">
        <f t="shared" si="26"/>
        <v>-0.84210670840541502</v>
      </c>
    </row>
    <row r="81" spans="1:15" s="4" customFormat="1" x14ac:dyDescent="0.25">
      <c r="A81" s="54">
        <v>86</v>
      </c>
      <c r="B81" s="31" t="s">
        <v>177</v>
      </c>
      <c r="C81" s="31"/>
      <c r="D81" s="31"/>
      <c r="E81" s="31">
        <f>SUM(E74:E80)</f>
        <v>304514</v>
      </c>
      <c r="F81" s="31">
        <f>SUM(F74:F80)</f>
        <v>306532</v>
      </c>
      <c r="G81" s="32">
        <f t="shared" si="24"/>
        <v>-6.5833257212950039E-3</v>
      </c>
      <c r="H81" s="31" t="e">
        <f>SUM(H74:H80)</f>
        <v>#REF!</v>
      </c>
      <c r="I81" s="32" t="e">
        <f t="shared" si="25"/>
        <v>#REF!</v>
      </c>
      <c r="J81" s="31" t="e">
        <f>SUM(J74:J80)</f>
        <v>#REF!</v>
      </c>
      <c r="K81" s="31">
        <f>SUM(K74:K80)</f>
        <v>131127</v>
      </c>
      <c r="M81" s="31">
        <f>SUM(M74:M80)</f>
        <v>191159.28000000003</v>
      </c>
      <c r="N81" s="31">
        <f>SUM(N74:N80)</f>
        <v>204640.52999999994</v>
      </c>
      <c r="O81" s="32">
        <f t="shared" si="26"/>
        <v>-6.587771249419612E-2</v>
      </c>
    </row>
    <row r="82" spans="1:15" ht="6.75" customHeight="1" x14ac:dyDescent="0.25">
      <c r="A82" s="54">
        <v>87</v>
      </c>
      <c r="G82" s="48"/>
      <c r="J82" s="1"/>
      <c r="K82" s="1"/>
    </row>
    <row r="83" spans="1:15" ht="8.25" customHeight="1" x14ac:dyDescent="0.25">
      <c r="A83" s="54">
        <v>129</v>
      </c>
      <c r="G83" s="48"/>
      <c r="J83" s="1"/>
      <c r="K83" s="1"/>
    </row>
    <row r="84" spans="1:15" ht="18.75" x14ac:dyDescent="0.25">
      <c r="A84" s="54">
        <v>130</v>
      </c>
      <c r="B84" s="10" t="s">
        <v>78</v>
      </c>
      <c r="G84" s="48"/>
      <c r="J84" s="1"/>
      <c r="K84" s="1"/>
    </row>
    <row r="85" spans="1:15" x14ac:dyDescent="0.25">
      <c r="A85" s="54">
        <v>131</v>
      </c>
      <c r="B85" s="4" t="s">
        <v>79</v>
      </c>
      <c r="G85" s="48"/>
      <c r="J85" s="1"/>
      <c r="K85" s="1"/>
    </row>
    <row r="86" spans="1:15" x14ac:dyDescent="0.25">
      <c r="A86" s="54">
        <v>132</v>
      </c>
      <c r="C86" s="1" t="s">
        <v>81</v>
      </c>
      <c r="E86" s="46">
        <f>+'New Year-Full Year'!H134</f>
        <v>17000</v>
      </c>
      <c r="F86" s="46">
        <f>+'New Year-Full Year'!I134</f>
        <v>17000</v>
      </c>
      <c r="G86" s="6">
        <f t="shared" ref="G86:G93" si="27">IF(F86=0,"NA",(+E86-F86)/F86)</f>
        <v>0</v>
      </c>
      <c r="H86" s="46" t="e">
        <f>+#REF!</f>
        <v>#REF!</v>
      </c>
      <c r="I86" s="6" t="e">
        <f t="shared" ref="I86:I93" si="28">IF(H86=0,"NA",(+E86-H86)/H86)</f>
        <v>#REF!</v>
      </c>
      <c r="J86" s="46" t="e">
        <f>+#REF!</f>
        <v>#REF!</v>
      </c>
      <c r="K86" s="5">
        <v>16071</v>
      </c>
      <c r="M86" s="46">
        <f>+'New Year-Full Year'!P134</f>
        <v>11080.66</v>
      </c>
      <c r="N86" s="46">
        <f>+'New Year-Full Year'!Q134</f>
        <v>11333.36</v>
      </c>
      <c r="O86" s="6">
        <f t="shared" ref="O86:O93" si="29">IF(N86=0,"NA",(+M86-N86)/N86)</f>
        <v>-2.2297006359985098E-2</v>
      </c>
    </row>
    <row r="87" spans="1:15" x14ac:dyDescent="0.25">
      <c r="A87" s="54">
        <v>133</v>
      </c>
      <c r="C87" s="1" t="s">
        <v>82</v>
      </c>
      <c r="E87" s="46">
        <f>+'New Year-Full Year'!H135</f>
        <v>16000</v>
      </c>
      <c r="F87" s="46">
        <f>+'New Year-Full Year'!I135</f>
        <v>16000</v>
      </c>
      <c r="G87" s="6">
        <f t="shared" si="27"/>
        <v>0</v>
      </c>
      <c r="H87" s="46" t="e">
        <f>+#REF!</f>
        <v>#REF!</v>
      </c>
      <c r="I87" s="6" t="e">
        <f t="shared" si="28"/>
        <v>#REF!</v>
      </c>
      <c r="J87" s="46" t="e">
        <f>+#REF!</f>
        <v>#REF!</v>
      </c>
      <c r="K87" s="5">
        <v>10365</v>
      </c>
      <c r="M87" s="46">
        <f>+'New Year-Full Year'!P135</f>
        <v>7189</v>
      </c>
      <c r="N87" s="46">
        <f>+'New Year-Full Year'!Q135</f>
        <v>10666.64</v>
      </c>
      <c r="O87" s="6">
        <f t="shared" si="29"/>
        <v>-0.32602956507391267</v>
      </c>
    </row>
    <row r="88" spans="1:15" x14ac:dyDescent="0.25">
      <c r="A88" s="54">
        <v>134</v>
      </c>
      <c r="C88" s="1" t="s">
        <v>83</v>
      </c>
      <c r="E88" s="46">
        <f>+'New Year-Full Year'!H136</f>
        <v>5976</v>
      </c>
      <c r="F88" s="46">
        <f>+'New Year-Full Year'!I136</f>
        <v>5976</v>
      </c>
      <c r="G88" s="6">
        <f t="shared" si="27"/>
        <v>0</v>
      </c>
      <c r="H88" s="46" t="e">
        <f>+#REF!</f>
        <v>#REF!</v>
      </c>
      <c r="I88" s="6" t="e">
        <f t="shared" si="28"/>
        <v>#REF!</v>
      </c>
      <c r="J88" s="46" t="e">
        <f>+#REF!</f>
        <v>#REF!</v>
      </c>
      <c r="K88" s="5">
        <v>3847</v>
      </c>
      <c r="M88" s="46">
        <f>+'New Year-Full Year'!P136</f>
        <v>3987.88</v>
      </c>
      <c r="N88" s="46">
        <f>+'New Year-Full Year'!Q136</f>
        <v>3984</v>
      </c>
      <c r="O88" s="6">
        <f t="shared" si="29"/>
        <v>9.738955823293447E-4</v>
      </c>
    </row>
    <row r="89" spans="1:15" x14ac:dyDescent="0.25">
      <c r="A89" s="54">
        <v>135</v>
      </c>
      <c r="C89" s="1" t="s">
        <v>84</v>
      </c>
      <c r="E89" s="46">
        <f>+'New Year-Full Year'!H137</f>
        <v>800</v>
      </c>
      <c r="F89" s="46">
        <f>+'New Year-Full Year'!I137</f>
        <v>800</v>
      </c>
      <c r="G89" s="6">
        <f t="shared" si="27"/>
        <v>0</v>
      </c>
      <c r="H89" s="46" t="e">
        <f>+#REF!</f>
        <v>#REF!</v>
      </c>
      <c r="I89" s="6" t="e">
        <f t="shared" si="28"/>
        <v>#REF!</v>
      </c>
      <c r="J89" s="46" t="e">
        <f>+#REF!</f>
        <v>#REF!</v>
      </c>
      <c r="K89" s="5">
        <v>766</v>
      </c>
      <c r="M89" s="46">
        <f>+'New Year-Full Year'!P137</f>
        <v>665.98</v>
      </c>
      <c r="N89" s="46">
        <f>+'New Year-Full Year'!Q137</f>
        <v>600</v>
      </c>
      <c r="O89" s="6">
        <f t="shared" si="29"/>
        <v>0.1099666666666667</v>
      </c>
    </row>
    <row r="90" spans="1:15" x14ac:dyDescent="0.25">
      <c r="A90" s="54">
        <v>136</v>
      </c>
      <c r="C90" s="1" t="s">
        <v>85</v>
      </c>
      <c r="E90" s="46">
        <f>+'New Year-Full Year'!H138</f>
        <v>3300</v>
      </c>
      <c r="F90" s="46">
        <f>+'New Year-Full Year'!I138</f>
        <v>3300</v>
      </c>
      <c r="G90" s="6">
        <f t="shared" si="27"/>
        <v>0</v>
      </c>
      <c r="H90" s="46" t="e">
        <f>+#REF!</f>
        <v>#REF!</v>
      </c>
      <c r="I90" s="6" t="e">
        <f t="shared" si="28"/>
        <v>#REF!</v>
      </c>
      <c r="J90" s="46" t="e">
        <f>+#REF!</f>
        <v>#REF!</v>
      </c>
      <c r="K90" s="5">
        <v>3016</v>
      </c>
      <c r="M90" s="46">
        <f>+'New Year-Full Year'!P138</f>
        <v>2146.4</v>
      </c>
      <c r="N90" s="46">
        <f>+'New Year-Full Year'!Q138</f>
        <v>2200</v>
      </c>
      <c r="O90" s="6">
        <f t="shared" si="29"/>
        <v>-2.4363636363636323E-2</v>
      </c>
    </row>
    <row r="91" spans="1:15" x14ac:dyDescent="0.25">
      <c r="A91" s="54">
        <v>137</v>
      </c>
      <c r="C91" s="1" t="s">
        <v>86</v>
      </c>
      <c r="E91" s="46">
        <f>+'New Year-Full Year'!H139</f>
        <v>2700</v>
      </c>
      <c r="F91" s="46">
        <f>+'New Year-Full Year'!I139</f>
        <v>2700</v>
      </c>
      <c r="G91" s="6">
        <f t="shared" si="27"/>
        <v>0</v>
      </c>
      <c r="H91" s="46" t="e">
        <f>+#REF!</f>
        <v>#REF!</v>
      </c>
      <c r="I91" s="6" t="e">
        <f t="shared" si="28"/>
        <v>#REF!</v>
      </c>
      <c r="J91" s="46" t="e">
        <f>+#REF!</f>
        <v>#REF!</v>
      </c>
      <c r="K91" s="5">
        <v>2344</v>
      </c>
      <c r="M91" s="46">
        <f>+'New Year-Full Year'!P139</f>
        <v>1550</v>
      </c>
      <c r="N91" s="46">
        <f>+'New Year-Full Year'!Q139</f>
        <v>1800</v>
      </c>
      <c r="O91" s="6">
        <f t="shared" si="29"/>
        <v>-0.1388888888888889</v>
      </c>
    </row>
    <row r="92" spans="1:15" x14ac:dyDescent="0.25">
      <c r="A92" s="54">
        <v>138</v>
      </c>
      <c r="C92" s="1" t="s">
        <v>178</v>
      </c>
      <c r="E92" s="46">
        <f>+'New Year-Full Year'!H140</f>
        <v>3900</v>
      </c>
      <c r="F92" s="46">
        <f>+'New Year-Full Year'!I140</f>
        <v>3900</v>
      </c>
      <c r="G92" s="6">
        <f t="shared" si="27"/>
        <v>0</v>
      </c>
      <c r="H92" s="46" t="e">
        <f>+#REF!</f>
        <v>#REF!</v>
      </c>
      <c r="I92" s="6" t="e">
        <f t="shared" si="28"/>
        <v>#REF!</v>
      </c>
      <c r="J92" s="46" t="e">
        <f>+#REF!</f>
        <v>#REF!</v>
      </c>
      <c r="K92" s="5">
        <v>3025</v>
      </c>
      <c r="M92" s="46">
        <f>+'New Year-Full Year'!P140</f>
        <v>3954.67</v>
      </c>
      <c r="N92" s="46">
        <f>+'New Year-Full Year'!Q140</f>
        <v>3900</v>
      </c>
      <c r="O92" s="6">
        <f t="shared" si="29"/>
        <v>1.4017948717948736E-2</v>
      </c>
    </row>
    <row r="93" spans="1:15" s="4" customFormat="1" x14ac:dyDescent="0.25">
      <c r="A93" s="54">
        <v>139</v>
      </c>
      <c r="B93" s="34" t="s">
        <v>87</v>
      </c>
      <c r="C93" s="34"/>
      <c r="D93" s="34"/>
      <c r="E93" s="34">
        <f>SUM(E86:E92)</f>
        <v>49676</v>
      </c>
      <c r="F93" s="34">
        <f>SUM(F86:F92)</f>
        <v>49676</v>
      </c>
      <c r="G93" s="35">
        <f t="shared" si="27"/>
        <v>0</v>
      </c>
      <c r="H93" s="34" t="e">
        <f>SUM(H86:H92)</f>
        <v>#REF!</v>
      </c>
      <c r="I93" s="35" t="e">
        <f t="shared" si="28"/>
        <v>#REF!</v>
      </c>
      <c r="J93" s="34" t="e">
        <f>SUM(J86:J92)</f>
        <v>#REF!</v>
      </c>
      <c r="K93" s="34">
        <f>SUM(K86:K92)</f>
        <v>39434</v>
      </c>
      <c r="M93" s="34">
        <f>SUM(M86:M92)</f>
        <v>30574.590000000004</v>
      </c>
      <c r="N93" s="34">
        <f>SUM(N86:N92)</f>
        <v>34484</v>
      </c>
      <c r="O93" s="35">
        <f t="shared" si="29"/>
        <v>-0.11336880872288586</v>
      </c>
    </row>
    <row r="94" spans="1:15" s="4" customFormat="1" ht="6.75" customHeight="1" x14ac:dyDescent="0.25">
      <c r="A94" s="54">
        <v>140</v>
      </c>
      <c r="B94" s="20"/>
      <c r="C94" s="20"/>
      <c r="D94" s="20"/>
      <c r="E94" s="20"/>
      <c r="F94" s="20"/>
      <c r="G94" s="23"/>
      <c r="H94" s="20"/>
      <c r="I94" s="23"/>
      <c r="J94" s="20"/>
      <c r="K94" s="20"/>
      <c r="M94" s="20"/>
      <c r="N94" s="20"/>
      <c r="O94" s="23"/>
    </row>
    <row r="95" spans="1:15" x14ac:dyDescent="0.25">
      <c r="A95" s="54">
        <v>141</v>
      </c>
      <c r="B95" s="4" t="s">
        <v>88</v>
      </c>
      <c r="G95" s="48"/>
      <c r="J95" s="1"/>
      <c r="K95" s="1"/>
    </row>
    <row r="96" spans="1:15" x14ac:dyDescent="0.25">
      <c r="A96" s="54">
        <v>142</v>
      </c>
      <c r="C96" s="1" t="s">
        <v>89</v>
      </c>
      <c r="E96" s="46">
        <f>+'New Year-Full Year'!H144</f>
        <v>14730</v>
      </c>
      <c r="F96" s="46">
        <f>+'New Year-Full Year'!I144</f>
        <v>14730</v>
      </c>
      <c r="G96" s="6">
        <f t="shared" ref="G96:G105" si="30">IF(F96=0,"NA",(+E96-F96)/F96)</f>
        <v>0</v>
      </c>
      <c r="H96" s="46" t="e">
        <f>+#REF!</f>
        <v>#REF!</v>
      </c>
      <c r="I96" s="6" t="e">
        <f t="shared" ref="I96:I105" si="31">IF(H96=0,"NA",(+E96-H96)/H96)</f>
        <v>#REF!</v>
      </c>
      <c r="J96" s="46" t="e">
        <f>+#REF!</f>
        <v>#REF!</v>
      </c>
      <c r="K96" s="5">
        <v>10182</v>
      </c>
      <c r="M96" s="46">
        <f>+'New Year-Full Year'!P144</f>
        <v>11016.34</v>
      </c>
      <c r="N96" s="46">
        <f>+'New Year-Full Year'!Q144</f>
        <v>11047.5</v>
      </c>
      <c r="O96" s="6">
        <f t="shared" ref="O96:O105" si="32">IF(N96=0,"NA",(+M96-N96)/N96)</f>
        <v>-2.8205476352115731E-3</v>
      </c>
    </row>
    <row r="97" spans="1:15" x14ac:dyDescent="0.25">
      <c r="A97" s="54">
        <v>143</v>
      </c>
      <c r="C97" s="1" t="s">
        <v>90</v>
      </c>
      <c r="E97" s="46">
        <f>+'New Year-Full Year'!H145</f>
        <v>5000</v>
      </c>
      <c r="F97" s="46">
        <f>+'New Year-Full Year'!I145</f>
        <v>5000</v>
      </c>
      <c r="G97" s="6">
        <f t="shared" si="30"/>
        <v>0</v>
      </c>
      <c r="H97" s="46" t="e">
        <f>+#REF!</f>
        <v>#REF!</v>
      </c>
      <c r="I97" s="6" t="e">
        <f t="shared" si="31"/>
        <v>#REF!</v>
      </c>
      <c r="J97" s="46" t="e">
        <f>+#REF!</f>
        <v>#REF!</v>
      </c>
      <c r="K97" s="5">
        <v>5938</v>
      </c>
      <c r="M97" s="46">
        <f>+'New Year-Full Year'!P145</f>
        <v>3777.19</v>
      </c>
      <c r="N97" s="46">
        <f>+'New Year-Full Year'!Q145</f>
        <v>3000</v>
      </c>
      <c r="O97" s="6">
        <f t="shared" si="32"/>
        <v>0.25906333333333337</v>
      </c>
    </row>
    <row r="98" spans="1:15" x14ac:dyDescent="0.25">
      <c r="A98" s="54">
        <v>144</v>
      </c>
      <c r="C98" s="1" t="s">
        <v>129</v>
      </c>
      <c r="E98" s="46">
        <f>+'New Year-Full Year'!H146</f>
        <v>2500</v>
      </c>
      <c r="F98" s="46">
        <f>+'New Year-Full Year'!I146</f>
        <v>2500</v>
      </c>
      <c r="G98" s="6">
        <f t="shared" si="30"/>
        <v>0</v>
      </c>
      <c r="H98" s="46" t="e">
        <f>+#REF!</f>
        <v>#REF!</v>
      </c>
      <c r="I98" s="6" t="e">
        <f t="shared" si="31"/>
        <v>#REF!</v>
      </c>
      <c r="J98" s="46" t="e">
        <f>+#REF!</f>
        <v>#REF!</v>
      </c>
      <c r="K98" s="5">
        <v>2996</v>
      </c>
      <c r="M98" s="46">
        <f>+'New Year-Full Year'!P146</f>
        <v>2059.1999999999998</v>
      </c>
      <c r="N98" s="46">
        <f>+'New Year-Full Year'!Q146</f>
        <v>1666.64</v>
      </c>
      <c r="O98" s="6">
        <f t="shared" si="32"/>
        <v>0.235539768636298</v>
      </c>
    </row>
    <row r="99" spans="1:15" x14ac:dyDescent="0.25">
      <c r="A99" s="54">
        <v>145</v>
      </c>
      <c r="C99" s="102" t="s">
        <v>161</v>
      </c>
      <c r="D99" s="102"/>
      <c r="E99" s="46">
        <f>+'New Year-Full Year'!H147</f>
        <v>4300</v>
      </c>
      <c r="F99" s="46">
        <f>+'New Year-Full Year'!I147</f>
        <v>4300</v>
      </c>
      <c r="G99" s="6">
        <f t="shared" si="30"/>
        <v>0</v>
      </c>
      <c r="H99" s="46" t="e">
        <f>+#REF!</f>
        <v>#REF!</v>
      </c>
      <c r="I99" s="6" t="e">
        <f t="shared" si="31"/>
        <v>#REF!</v>
      </c>
      <c r="J99" s="46" t="e">
        <f>+#REF!</f>
        <v>#REF!</v>
      </c>
      <c r="K99" s="5">
        <v>2796</v>
      </c>
      <c r="M99" s="46">
        <f>+'New Year-Full Year'!P147</f>
        <v>2781.63</v>
      </c>
      <c r="N99" s="46">
        <f>+'New Year-Full Year'!Q147</f>
        <v>2866.64</v>
      </c>
      <c r="O99" s="6">
        <f t="shared" si="32"/>
        <v>-2.9654927022576872E-2</v>
      </c>
    </row>
    <row r="100" spans="1:15" x14ac:dyDescent="0.25">
      <c r="A100" s="54">
        <v>146</v>
      </c>
      <c r="C100" s="1" t="s">
        <v>91</v>
      </c>
      <c r="E100" s="46">
        <f>+'New Year-Full Year'!H148</f>
        <v>6000</v>
      </c>
      <c r="F100" s="46">
        <f>+'New Year-Full Year'!I148</f>
        <v>6000</v>
      </c>
      <c r="G100" s="6">
        <f t="shared" si="30"/>
        <v>0</v>
      </c>
      <c r="H100" s="46" t="e">
        <f>+#REF!</f>
        <v>#REF!</v>
      </c>
      <c r="I100" s="6" t="e">
        <f t="shared" si="31"/>
        <v>#REF!</v>
      </c>
      <c r="J100" s="46" t="e">
        <f>+#REF!</f>
        <v>#REF!</v>
      </c>
      <c r="K100" s="5">
        <v>5158</v>
      </c>
      <c r="M100" s="46">
        <f>+'New Year-Full Year'!P148</f>
        <v>4015</v>
      </c>
      <c r="N100" s="46">
        <f>+'New Year-Full Year'!Q148</f>
        <v>4000</v>
      </c>
      <c r="O100" s="6">
        <f t="shared" si="32"/>
        <v>3.7499999999999999E-3</v>
      </c>
    </row>
    <row r="101" spans="1:15" ht="15" hidden="1" customHeight="1" x14ac:dyDescent="0.25">
      <c r="A101" s="54">
        <v>147</v>
      </c>
      <c r="C101" s="1" t="s">
        <v>92</v>
      </c>
      <c r="E101" s="46">
        <f>+'New Year-Full Year'!H149</f>
        <v>0</v>
      </c>
      <c r="F101" s="46">
        <f>+'New Year-Full Year'!I149</f>
        <v>0</v>
      </c>
      <c r="G101" s="6" t="str">
        <f t="shared" si="30"/>
        <v>NA</v>
      </c>
      <c r="H101" s="46" t="e">
        <f>+#REF!</f>
        <v>#REF!</v>
      </c>
      <c r="I101" s="6" t="e">
        <f t="shared" si="31"/>
        <v>#REF!</v>
      </c>
      <c r="J101" s="46" t="e">
        <f>+#REF!</f>
        <v>#REF!</v>
      </c>
      <c r="K101" s="5">
        <v>131</v>
      </c>
      <c r="M101" s="46">
        <f>+'New Year-Full Year'!P149</f>
        <v>0</v>
      </c>
      <c r="N101" s="46">
        <f>+'New Year-Full Year'!Q149</f>
        <v>0</v>
      </c>
      <c r="O101" s="6" t="str">
        <f t="shared" si="32"/>
        <v>NA</v>
      </c>
    </row>
    <row r="102" spans="1:15" x14ac:dyDescent="0.25">
      <c r="A102" s="54">
        <v>148</v>
      </c>
      <c r="C102" s="1" t="s">
        <v>94</v>
      </c>
      <c r="E102" s="46">
        <f>+'New Year-Full Year'!H150</f>
        <v>9150</v>
      </c>
      <c r="F102" s="46">
        <f>+'New Year-Full Year'!I150</f>
        <v>54900</v>
      </c>
      <c r="G102" s="6">
        <f t="shared" si="30"/>
        <v>-0.83333333333333337</v>
      </c>
      <c r="H102" s="46" t="e">
        <f>+#REF!</f>
        <v>#REF!</v>
      </c>
      <c r="I102" s="6" t="e">
        <f t="shared" si="31"/>
        <v>#REF!</v>
      </c>
      <c r="J102" s="46" t="e">
        <f>+#REF!</f>
        <v>#REF!</v>
      </c>
      <c r="K102" s="5">
        <v>55793</v>
      </c>
      <c r="M102" s="46">
        <f>+'New Year-Full Year'!P150</f>
        <v>41157</v>
      </c>
      <c r="N102" s="46">
        <f>+'New Year-Full Year'!Q150</f>
        <v>36600</v>
      </c>
      <c r="O102" s="6">
        <f t="shared" si="32"/>
        <v>0.12450819672131147</v>
      </c>
    </row>
    <row r="103" spans="1:15" x14ac:dyDescent="0.25">
      <c r="A103" s="54">
        <v>149</v>
      </c>
      <c r="C103" s="1" t="s">
        <v>93</v>
      </c>
      <c r="E103" s="46">
        <f>+'New Year-Full Year'!H151</f>
        <v>1650</v>
      </c>
      <c r="F103" s="46">
        <f>+'New Year-Full Year'!I151</f>
        <v>1650</v>
      </c>
      <c r="G103" s="6">
        <f t="shared" si="30"/>
        <v>0</v>
      </c>
      <c r="H103" s="46" t="e">
        <f>+#REF!</f>
        <v>#REF!</v>
      </c>
      <c r="I103" s="6" t="e">
        <f t="shared" si="31"/>
        <v>#REF!</v>
      </c>
      <c r="J103" s="46" t="e">
        <f>+#REF!</f>
        <v>#REF!</v>
      </c>
      <c r="K103" s="5">
        <v>524</v>
      </c>
      <c r="M103" s="46">
        <f>+'New Year-Full Year'!P151</f>
        <v>248.72</v>
      </c>
      <c r="N103" s="46">
        <f>+'New Year-Full Year'!Q151</f>
        <v>1100</v>
      </c>
      <c r="O103" s="6">
        <f t="shared" si="32"/>
        <v>-0.77389090909090907</v>
      </c>
    </row>
    <row r="104" spans="1:15" s="4" customFormat="1" x14ac:dyDescent="0.25">
      <c r="A104" s="54">
        <v>150</v>
      </c>
      <c r="B104" s="34" t="s">
        <v>95</v>
      </c>
      <c r="C104" s="34"/>
      <c r="D104" s="34"/>
      <c r="E104" s="34">
        <f>SUM(E96:E103)</f>
        <v>43330</v>
      </c>
      <c r="F104" s="34">
        <f>SUM(F96:F103)</f>
        <v>89080</v>
      </c>
      <c r="G104" s="35">
        <f t="shared" si="30"/>
        <v>-0.51358329591378538</v>
      </c>
      <c r="H104" s="34" t="e">
        <f>SUM(H96:H103)</f>
        <v>#REF!</v>
      </c>
      <c r="I104" s="35" t="e">
        <f t="shared" si="31"/>
        <v>#REF!</v>
      </c>
      <c r="J104" s="34" t="e">
        <f>SUM(J96:J103)</f>
        <v>#REF!</v>
      </c>
      <c r="K104" s="34">
        <f>SUM(K96:K103)</f>
        <v>83518</v>
      </c>
      <c r="M104" s="34">
        <f>SUM(M96:M103)</f>
        <v>65055.08</v>
      </c>
      <c r="N104" s="34">
        <f>SUM(N96:N103)</f>
        <v>60280.78</v>
      </c>
      <c r="O104" s="35">
        <f t="shared" si="32"/>
        <v>7.9201032236145635E-2</v>
      </c>
    </row>
    <row r="105" spans="1:15" x14ac:dyDescent="0.25">
      <c r="A105" s="54">
        <v>151</v>
      </c>
      <c r="B105" s="34" t="s">
        <v>96</v>
      </c>
      <c r="C105" s="34"/>
      <c r="D105" s="34"/>
      <c r="E105" s="34">
        <f>+E93+E104</f>
        <v>93006</v>
      </c>
      <c r="F105" s="34">
        <f>+F93+F104</f>
        <v>138756</v>
      </c>
      <c r="G105" s="35">
        <f t="shared" si="30"/>
        <v>-0.32971547176338323</v>
      </c>
      <c r="H105" s="34" t="e">
        <f t="shared" ref="H105:K105" si="33">+H93+H104</f>
        <v>#REF!</v>
      </c>
      <c r="I105" s="35" t="e">
        <f t="shared" si="31"/>
        <v>#REF!</v>
      </c>
      <c r="J105" s="34" t="e">
        <f t="shared" ref="J105" si="34">+J93+J104</f>
        <v>#REF!</v>
      </c>
      <c r="K105" s="34">
        <f t="shared" si="33"/>
        <v>122952</v>
      </c>
      <c r="M105" s="34">
        <f>+M93+M104</f>
        <v>95629.670000000013</v>
      </c>
      <c r="N105" s="34">
        <f>+N93+N104</f>
        <v>94764.78</v>
      </c>
      <c r="O105" s="35">
        <f t="shared" si="32"/>
        <v>9.1267029797358675E-3</v>
      </c>
    </row>
    <row r="106" spans="1:15" ht="4.5" customHeight="1" x14ac:dyDescent="0.25">
      <c r="A106" s="54">
        <v>152</v>
      </c>
      <c r="G106" s="48"/>
      <c r="J106" s="1"/>
      <c r="K106" s="1"/>
    </row>
    <row r="107" spans="1:15" ht="18.75" x14ac:dyDescent="0.25">
      <c r="A107" s="54">
        <v>153</v>
      </c>
      <c r="B107" s="10" t="s">
        <v>97</v>
      </c>
      <c r="G107" s="48"/>
      <c r="J107" s="1"/>
      <c r="K107" s="1"/>
    </row>
    <row r="108" spans="1:15" x14ac:dyDescent="0.25">
      <c r="A108" s="54">
        <v>154</v>
      </c>
      <c r="B108" s="4" t="s">
        <v>98</v>
      </c>
      <c r="G108" s="48"/>
      <c r="J108" s="1"/>
      <c r="K108" s="1"/>
    </row>
    <row r="109" spans="1:15" x14ac:dyDescent="0.25">
      <c r="A109" s="54">
        <v>155</v>
      </c>
      <c r="C109" s="1" t="s">
        <v>99</v>
      </c>
      <c r="E109" s="46">
        <f>+'New Year-Full Year'!H157</f>
        <v>0</v>
      </c>
      <c r="F109" s="46">
        <f>+'New Year-Full Year'!I157</f>
        <v>0</v>
      </c>
      <c r="G109" s="6" t="str">
        <f t="shared" ref="G109:G113" si="35">IF(F109=0,"NA",(+E109-F109)/F109)</f>
        <v>NA</v>
      </c>
      <c r="H109" s="46" t="e">
        <f>+#REF!</f>
        <v>#REF!</v>
      </c>
      <c r="I109" s="6" t="e">
        <f>IF(H109=0,"NA",(+E109-H109)/H109)</f>
        <v>#REF!</v>
      </c>
      <c r="J109" s="46" t="e">
        <f>+#REF!</f>
        <v>#REF!</v>
      </c>
      <c r="K109" s="5">
        <v>0</v>
      </c>
      <c r="M109" s="46">
        <f>+'New Year-Full Year'!P157</f>
        <v>0</v>
      </c>
      <c r="N109" s="46">
        <f>+'New Year-Full Year'!Q157</f>
        <v>0</v>
      </c>
      <c r="O109" s="6" t="str">
        <f>IF(N109=0,"NA",(+M109-N109)/N109)</f>
        <v>NA</v>
      </c>
    </row>
    <row r="110" spans="1:15" x14ac:dyDescent="0.25">
      <c r="A110" s="54">
        <v>156</v>
      </c>
      <c r="C110" s="1" t="s">
        <v>100</v>
      </c>
      <c r="E110" s="46">
        <f>+'New Year-Full Year'!H158</f>
        <v>4195</v>
      </c>
      <c r="F110" s="46">
        <f>+'New Year-Full Year'!I158</f>
        <v>0</v>
      </c>
      <c r="G110" s="6" t="str">
        <f t="shared" si="35"/>
        <v>NA</v>
      </c>
      <c r="H110" s="46" t="e">
        <f>+#REF!</f>
        <v>#REF!</v>
      </c>
      <c r="I110" s="6" t="e">
        <f>IF(H110=0,"NA",(+E110-H110)/H110)</f>
        <v>#REF!</v>
      </c>
      <c r="J110" s="46" t="e">
        <f>+#REF!</f>
        <v>#REF!</v>
      </c>
      <c r="K110" s="5">
        <v>4886</v>
      </c>
      <c r="M110" s="46">
        <f>+'New Year-Full Year'!P158</f>
        <v>0</v>
      </c>
      <c r="N110" s="46">
        <f>+'New Year-Full Year'!Q158</f>
        <v>0</v>
      </c>
      <c r="O110" s="6" t="str">
        <f>IF(N110=0,"NA",(+M110-N110)/N110)</f>
        <v>NA</v>
      </c>
    </row>
    <row r="111" spans="1:15" x14ac:dyDescent="0.25">
      <c r="A111" s="54">
        <v>157</v>
      </c>
      <c r="C111" s="1" t="s">
        <v>101</v>
      </c>
      <c r="E111" s="46">
        <f>+'New Year-Full Year'!H159</f>
        <v>0</v>
      </c>
      <c r="F111" s="46">
        <f>+'New Year-Full Year'!I159</f>
        <v>0</v>
      </c>
      <c r="G111" s="6" t="str">
        <f t="shared" si="35"/>
        <v>NA</v>
      </c>
      <c r="H111" s="46" t="e">
        <f>+#REF!</f>
        <v>#REF!</v>
      </c>
      <c r="I111" s="6" t="e">
        <f>IF(H111=0,"NA",(+E111-H111)/H111)</f>
        <v>#REF!</v>
      </c>
      <c r="J111" s="46" t="e">
        <f>+#REF!</f>
        <v>#REF!</v>
      </c>
      <c r="K111" s="5">
        <v>6500</v>
      </c>
      <c r="M111" s="46">
        <f>+'New Year-Full Year'!P159</f>
        <v>2.12</v>
      </c>
      <c r="N111" s="46">
        <f>+'New Year-Full Year'!Q159</f>
        <v>0</v>
      </c>
      <c r="O111" s="6" t="str">
        <f>IF(N111=0,"NA",(+M111-N111)/N111)</f>
        <v>NA</v>
      </c>
    </row>
    <row r="112" spans="1:15" x14ac:dyDescent="0.25">
      <c r="A112" s="54">
        <v>158</v>
      </c>
      <c r="C112" s="1" t="s">
        <v>102</v>
      </c>
      <c r="E112" s="46">
        <f>+'New Year-Full Year'!H160</f>
        <v>7000</v>
      </c>
      <c r="F112" s="46">
        <f>+'New Year-Full Year'!I160</f>
        <v>3389</v>
      </c>
      <c r="G112" s="6">
        <f t="shared" si="35"/>
        <v>1.0655060489820005</v>
      </c>
      <c r="H112" s="46" t="e">
        <f>+#REF!</f>
        <v>#REF!</v>
      </c>
      <c r="I112" s="6" t="e">
        <f>IF(H112=0,"NA",(+E112-H112)/H112)</f>
        <v>#REF!</v>
      </c>
      <c r="J112" s="46" t="e">
        <f>+#REF!</f>
        <v>#REF!</v>
      </c>
      <c r="K112" s="5">
        <v>0</v>
      </c>
      <c r="M112" s="46">
        <f>+'New Year-Full Year'!P160</f>
        <v>0</v>
      </c>
      <c r="N112" s="46">
        <f>+'New Year-Full Year'!Q160</f>
        <v>1694.5</v>
      </c>
      <c r="O112" s="6">
        <f>IF(N112=0,"NA",(+M112-N112)/N112)</f>
        <v>-1</v>
      </c>
    </row>
    <row r="113" spans="1:15" s="4" customFormat="1" x14ac:dyDescent="0.25">
      <c r="A113" s="54">
        <v>159</v>
      </c>
      <c r="B113" s="36" t="s">
        <v>103</v>
      </c>
      <c r="C113" s="36"/>
      <c r="D113" s="36"/>
      <c r="E113" s="36">
        <f>SUM(E109:E112)</f>
        <v>11195</v>
      </c>
      <c r="F113" s="36">
        <f>SUM(F109:F112)</f>
        <v>3389</v>
      </c>
      <c r="G113" s="37">
        <f t="shared" si="35"/>
        <v>2.3033343169076423</v>
      </c>
      <c r="H113" s="36" t="e">
        <f>SUM(H109:H112)</f>
        <v>#REF!</v>
      </c>
      <c r="I113" s="37" t="e">
        <f>IF(H113=0,"NA",(+E113-H113)/H113)</f>
        <v>#REF!</v>
      </c>
      <c r="J113" s="36" t="e">
        <f>SUM(J109:J112)</f>
        <v>#REF!</v>
      </c>
      <c r="K113" s="36">
        <f>SUM(K109:K112)</f>
        <v>11386</v>
      </c>
      <c r="M113" s="36">
        <f>SUM(M109:M112)</f>
        <v>2.12</v>
      </c>
      <c r="N113" s="36">
        <f>SUM(N109:N112)</f>
        <v>1694.5</v>
      </c>
      <c r="O113" s="37">
        <f>IF(N113=0,"NA",(+M113-N113)/N113)</f>
        <v>-0.99874889347890239</v>
      </c>
    </row>
    <row r="114" spans="1:15" ht="7.5" customHeight="1" x14ac:dyDescent="0.25">
      <c r="A114" s="54">
        <v>160</v>
      </c>
      <c r="G114" s="48"/>
      <c r="J114" s="1"/>
      <c r="K114" s="1"/>
    </row>
    <row r="115" spans="1:15" x14ac:dyDescent="0.25">
      <c r="A115" s="54">
        <v>161</v>
      </c>
      <c r="B115" s="38" t="s">
        <v>104</v>
      </c>
      <c r="C115" s="39"/>
      <c r="D115" s="39"/>
      <c r="E115" s="38">
        <f>+E70+E105+E113+E24+E81</f>
        <v>522189</v>
      </c>
      <c r="F115" s="38">
        <f>+F70+F105+F113+F24+F81</f>
        <v>555637</v>
      </c>
      <c r="G115" s="40">
        <f t="shared" ref="G115" si="36">IF(F115=0,"NA",(+E115-F115)/F115)</f>
        <v>-6.0197575035499794E-2</v>
      </c>
      <c r="H115" s="38" t="e">
        <f>+H70+#REF!+H105+H113+H24</f>
        <v>#REF!</v>
      </c>
      <c r="I115" s="40" t="e">
        <f>IF(H115=0,"NA",(+E115-H115)/H115)</f>
        <v>#REF!</v>
      </c>
      <c r="J115" s="38" t="e">
        <f>+J70+#REF!+J105+J113+J24</f>
        <v>#REF!</v>
      </c>
      <c r="K115" s="38" t="e">
        <f>+K70+#REF!+K105+K113+K24</f>
        <v>#REF!</v>
      </c>
      <c r="M115" s="38">
        <f>+M70+M105+M113+M24+M81</f>
        <v>353143.77</v>
      </c>
      <c r="N115" s="38">
        <f>+N70+N105+N113+N24+N81</f>
        <v>369290.39999999991</v>
      </c>
      <c r="O115" s="40">
        <f>IF(N115=0,"NA",(+M115-N115)/N115)</f>
        <v>-4.3723394921719852E-2</v>
      </c>
    </row>
    <row r="116" spans="1:15" x14ac:dyDescent="0.25">
      <c r="A116" s="54">
        <v>162</v>
      </c>
      <c r="B116" s="38" t="s">
        <v>105</v>
      </c>
      <c r="C116" s="39"/>
      <c r="D116" s="39"/>
      <c r="E116" s="38">
        <f>ROUND(+E21-E115,0)</f>
        <v>33448</v>
      </c>
      <c r="F116" s="38">
        <f>ROUND(+F21-F115,0)</f>
        <v>0</v>
      </c>
      <c r="G116" s="62"/>
      <c r="H116" s="38" t="e">
        <f>+H21-H115</f>
        <v>#REF!</v>
      </c>
      <c r="I116" s="40" t="e">
        <f>IF(H116=0,"NA",(+E116-H116)/H116)</f>
        <v>#REF!</v>
      </c>
      <c r="J116" s="38" t="e">
        <f>+J21-J115</f>
        <v>#REF!</v>
      </c>
      <c r="K116" s="38" t="e">
        <f>+K21-K115</f>
        <v>#REF!</v>
      </c>
      <c r="M116" s="38">
        <f>ROUND(+M21-M115,0)</f>
        <v>35664</v>
      </c>
      <c r="N116" s="38">
        <f>ROUND(+N21-N115,0)</f>
        <v>34062</v>
      </c>
      <c r="O116" s="40">
        <f>IF(N116=0,"NA",(+M116-N116)/N116)</f>
        <v>4.7031883036815221E-2</v>
      </c>
    </row>
    <row r="117" spans="1:15" x14ac:dyDescent="0.25">
      <c r="G117" s="48"/>
    </row>
    <row r="118" spans="1:15" x14ac:dyDescent="0.25">
      <c r="C118" s="1" t="s">
        <v>171</v>
      </c>
      <c r="G118" s="48"/>
    </row>
    <row r="119" spans="1:15" x14ac:dyDescent="0.25">
      <c r="G119" s="48"/>
    </row>
    <row r="120" spans="1:15" x14ac:dyDescent="0.25">
      <c r="G120" s="48"/>
    </row>
    <row r="121" spans="1:15" x14ac:dyDescent="0.25">
      <c r="G121" s="48"/>
    </row>
    <row r="122" spans="1:15" x14ac:dyDescent="0.25">
      <c r="G122" s="48"/>
    </row>
    <row r="123" spans="1:15" x14ac:dyDescent="0.25">
      <c r="G123" s="48"/>
    </row>
    <row r="124" spans="1:15" x14ac:dyDescent="0.25">
      <c r="G124" s="48"/>
    </row>
    <row r="125" spans="1:15" x14ac:dyDescent="0.25">
      <c r="A125" s="1"/>
      <c r="B125" s="1"/>
      <c r="G125" s="48"/>
      <c r="I125" s="1"/>
      <c r="J125" s="1"/>
      <c r="K125" s="1"/>
      <c r="O125" s="1"/>
    </row>
    <row r="126" spans="1:15" x14ac:dyDescent="0.25">
      <c r="A126" s="1"/>
      <c r="B126" s="1"/>
      <c r="G126" s="48"/>
      <c r="I126" s="1"/>
      <c r="J126" s="1"/>
      <c r="K126" s="1"/>
      <c r="O126" s="1"/>
    </row>
    <row r="127" spans="1:15" x14ac:dyDescent="0.25">
      <c r="A127" s="1"/>
      <c r="B127" s="1"/>
      <c r="G127" s="48"/>
      <c r="I127" s="1"/>
      <c r="J127" s="1"/>
      <c r="K127" s="1"/>
      <c r="O127" s="1"/>
    </row>
    <row r="128" spans="1:15" x14ac:dyDescent="0.25">
      <c r="A128" s="1"/>
      <c r="B128" s="1"/>
      <c r="G128" s="48"/>
      <c r="I128" s="1"/>
      <c r="J128" s="1"/>
      <c r="K128" s="1"/>
      <c r="O128" s="1"/>
    </row>
    <row r="129" spans="1:15" x14ac:dyDescent="0.25">
      <c r="A129" s="1"/>
      <c r="B129" s="1"/>
      <c r="G129" s="48"/>
      <c r="I129" s="1"/>
      <c r="J129" s="1"/>
      <c r="K129" s="1"/>
      <c r="O129" s="1"/>
    </row>
    <row r="130" spans="1:15" x14ac:dyDescent="0.25">
      <c r="A130" s="1"/>
      <c r="B130" s="1"/>
      <c r="G130" s="48"/>
      <c r="I130" s="1"/>
      <c r="J130" s="1"/>
      <c r="K130" s="1"/>
      <c r="O130" s="1"/>
    </row>
    <row r="131" spans="1:15" x14ac:dyDescent="0.25">
      <c r="A131" s="1"/>
      <c r="B131" s="1"/>
      <c r="G131" s="48"/>
      <c r="I131" s="1"/>
      <c r="J131" s="1"/>
      <c r="K131" s="1"/>
      <c r="O131" s="1"/>
    </row>
    <row r="132" spans="1:15" x14ac:dyDescent="0.25">
      <c r="A132" s="1"/>
      <c r="B132" s="1"/>
      <c r="G132" s="48"/>
      <c r="I132" s="1"/>
      <c r="J132" s="1"/>
      <c r="K132" s="1"/>
      <c r="O132" s="1"/>
    </row>
    <row r="133" spans="1:15" x14ac:dyDescent="0.25">
      <c r="A133" s="1"/>
      <c r="B133" s="1"/>
      <c r="G133" s="48"/>
      <c r="I133" s="1"/>
      <c r="J133" s="1"/>
      <c r="K133" s="1"/>
      <c r="O133" s="1"/>
    </row>
    <row r="134" spans="1:15" x14ac:dyDescent="0.25">
      <c r="A134" s="1"/>
      <c r="B134" s="1"/>
      <c r="G134" s="48"/>
      <c r="I134" s="1"/>
      <c r="J134" s="1"/>
      <c r="K134" s="1"/>
      <c r="O134" s="1"/>
    </row>
    <row r="135" spans="1:15" x14ac:dyDescent="0.25">
      <c r="A135" s="1"/>
      <c r="B135" s="1"/>
      <c r="G135" s="48"/>
      <c r="I135" s="1"/>
      <c r="J135" s="1"/>
      <c r="K135" s="1"/>
      <c r="O135" s="1"/>
    </row>
    <row r="136" spans="1:15" x14ac:dyDescent="0.25">
      <c r="A136" s="1"/>
      <c r="B136" s="1"/>
      <c r="G136" s="48"/>
      <c r="I136" s="1"/>
      <c r="J136" s="1"/>
      <c r="K136" s="1"/>
      <c r="O136" s="1"/>
    </row>
    <row r="137" spans="1:15" x14ac:dyDescent="0.25">
      <c r="A137" s="1"/>
      <c r="B137" s="1"/>
      <c r="G137" s="48"/>
      <c r="I137" s="1"/>
      <c r="J137" s="1"/>
      <c r="K137" s="1"/>
      <c r="O137" s="1"/>
    </row>
    <row r="138" spans="1:15" x14ac:dyDescent="0.25">
      <c r="A138" s="1"/>
      <c r="B138" s="1"/>
      <c r="G138" s="48"/>
      <c r="I138" s="1"/>
      <c r="J138" s="1"/>
      <c r="K138" s="1"/>
      <c r="O138" s="1"/>
    </row>
  </sheetData>
  <mergeCells count="9">
    <mergeCell ref="B1:O1"/>
    <mergeCell ref="B2:O2"/>
    <mergeCell ref="M3:O3"/>
    <mergeCell ref="C99:D99"/>
    <mergeCell ref="E3:G3"/>
    <mergeCell ref="C74:D74"/>
    <mergeCell ref="C76:D76"/>
    <mergeCell ref="C75:D75"/>
    <mergeCell ref="C77:D77"/>
  </mergeCells>
  <pageMargins left="0" right="0" top="0" bottom="0.75" header="0.3" footer="0.05"/>
  <pageSetup scale="92" fitToHeight="0" orientation="portrait" r:id="rId1"/>
  <headerFooter>
    <oddFooter>&amp;C&amp;P of &amp;N&amp;R&amp;D</oddFooter>
  </headerFooter>
  <rowBreaks count="2" manualBreakCount="2">
    <brk id="53" max="16383" man="1"/>
    <brk id="94" max="16383" man="1"/>
  </rowBreaks>
  <colBreaks count="1" manualBreakCount="1">
    <brk id="1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15"/>
  <sheetViews>
    <sheetView showGridLines="0" tabSelected="1" topLeftCell="H33" zoomScaleNormal="100" workbookViewId="0">
      <selection activeCell="S45" sqref="S45"/>
    </sheetView>
  </sheetViews>
  <sheetFormatPr defaultRowHeight="15" x14ac:dyDescent="0.25"/>
  <cols>
    <col min="1" max="1" width="4.42578125" style="54" hidden="1" customWidth="1"/>
    <col min="2" max="2" width="4.28515625" style="4" customWidth="1"/>
    <col min="3" max="3" width="9.140625" style="1"/>
    <col min="4" max="4" width="24.7109375" style="1" customWidth="1"/>
    <col min="5" max="5" width="8.85546875" style="1" customWidth="1"/>
    <col min="6" max="6" width="19.28515625" style="1" customWidth="1"/>
    <col min="7" max="7" width="10.5703125" style="1" customWidth="1"/>
    <col min="8" max="9" width="12.140625" style="1" customWidth="1"/>
    <col min="10" max="10" width="12.5703125" style="1" customWidth="1"/>
    <col min="11" max="11" width="12.5703125" style="1" hidden="1" customWidth="1"/>
    <col min="12" max="12" width="11.85546875" style="7" hidden="1" customWidth="1"/>
    <col min="13" max="14" width="11.85546875" style="48" hidden="1" customWidth="1"/>
    <col min="15" max="15" width="4.5703125" style="1" customWidth="1"/>
    <col min="16" max="16" width="12.5703125" style="1" bestFit="1" customWidth="1"/>
    <col min="17" max="17" width="11.7109375" style="1" customWidth="1"/>
    <col min="18" max="18" width="10" style="7" bestFit="1" customWidth="1"/>
    <col min="19" max="19" width="67.7109375" style="8" customWidth="1"/>
    <col min="20" max="20" width="67.7109375" style="44" customWidth="1"/>
    <col min="21" max="21" width="9.5703125" style="1" bestFit="1" customWidth="1"/>
    <col min="22" max="16384" width="9.140625" style="1"/>
  </cols>
  <sheetData>
    <row r="1" spans="1:20" ht="41.25" customHeight="1" x14ac:dyDescent="0.25">
      <c r="B1" s="97" t="s">
        <v>109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1"/>
    </row>
    <row r="2" spans="1:20" ht="8.25" customHeight="1" x14ac:dyDescent="0.25"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1"/>
    </row>
    <row r="3" spans="1:20" ht="23.25" customHeight="1" x14ac:dyDescent="0.25">
      <c r="H3" s="103" t="s">
        <v>108</v>
      </c>
      <c r="I3" s="104"/>
      <c r="J3" s="105"/>
      <c r="K3" s="73"/>
      <c r="L3" s="73"/>
      <c r="M3" s="73"/>
      <c r="N3" s="74"/>
      <c r="P3" s="106" t="s">
        <v>183</v>
      </c>
      <c r="Q3" s="107"/>
      <c r="R3" s="108"/>
    </row>
    <row r="4" spans="1:20" s="4" customFormat="1" ht="53.25" customHeight="1" x14ac:dyDescent="0.25">
      <c r="A4" s="55"/>
      <c r="H4" s="92" t="s">
        <v>181</v>
      </c>
      <c r="I4" s="93" t="s">
        <v>135</v>
      </c>
      <c r="J4" s="94" t="s">
        <v>182</v>
      </c>
      <c r="K4" s="50" t="s">
        <v>136</v>
      </c>
      <c r="L4" s="50" t="s">
        <v>137</v>
      </c>
      <c r="M4" s="50" t="s">
        <v>132</v>
      </c>
      <c r="N4" s="60" t="s">
        <v>133</v>
      </c>
      <c r="P4" s="95" t="s">
        <v>196</v>
      </c>
      <c r="Q4" s="96" t="s">
        <v>197</v>
      </c>
      <c r="R4" s="3" t="s">
        <v>107</v>
      </c>
      <c r="S4" s="9" t="s">
        <v>199</v>
      </c>
      <c r="T4" s="9" t="s">
        <v>200</v>
      </c>
    </row>
    <row r="5" spans="1:20" s="4" customFormat="1" ht="18.75" x14ac:dyDescent="0.25">
      <c r="A5" s="55"/>
      <c r="B5" s="10" t="s">
        <v>0</v>
      </c>
      <c r="H5" s="11"/>
      <c r="I5" s="12"/>
      <c r="J5" s="12"/>
      <c r="K5" s="12"/>
      <c r="L5" s="12"/>
      <c r="M5" s="49"/>
      <c r="N5" s="49"/>
      <c r="P5" s="12"/>
      <c r="Q5" s="12"/>
      <c r="R5" s="12"/>
      <c r="S5" s="13"/>
      <c r="T5" s="86"/>
    </row>
    <row r="6" spans="1:20" x14ac:dyDescent="0.25">
      <c r="A6" s="54">
        <v>1</v>
      </c>
      <c r="B6" s="4" t="s">
        <v>1</v>
      </c>
      <c r="M6" s="1"/>
      <c r="N6" s="1"/>
      <c r="T6" s="83"/>
    </row>
    <row r="7" spans="1:20" x14ac:dyDescent="0.25">
      <c r="A7" s="54">
        <v>2</v>
      </c>
      <c r="C7" s="1" t="s">
        <v>1</v>
      </c>
      <c r="H7" s="5">
        <f>(+I7*1)</f>
        <v>536136.74</v>
      </c>
      <c r="I7" s="46">
        <v>536136.74</v>
      </c>
      <c r="J7" s="6">
        <f>IF(I7=0,"NA",(+H7-I7)/I7)</f>
        <v>0</v>
      </c>
      <c r="K7" s="46" t="e">
        <f>+#REF!</f>
        <v>#REF!</v>
      </c>
      <c r="L7" s="6" t="e">
        <f t="shared" ref="L7:L12" si="0">IF(K7=0,"NA",(+H7-K7)/K7)</f>
        <v>#REF!</v>
      </c>
      <c r="M7" s="46" t="e">
        <f>+#REF!</f>
        <v>#REF!</v>
      </c>
      <c r="N7" s="5">
        <v>542338</v>
      </c>
      <c r="P7" s="5">
        <v>374670.9</v>
      </c>
      <c r="Q7" s="5">
        <v>392352.86</v>
      </c>
      <c r="R7" s="6">
        <f t="shared" ref="R7:R12" si="1">IF(Q7=0,"NA",(+P7-Q7)/Q7)</f>
        <v>-4.5066474091714187E-2</v>
      </c>
      <c r="S7" s="83" t="s">
        <v>198</v>
      </c>
      <c r="T7" s="83" t="s">
        <v>206</v>
      </c>
    </row>
    <row r="8" spans="1:20" x14ac:dyDescent="0.25">
      <c r="A8" s="54">
        <v>4</v>
      </c>
      <c r="C8" s="1" t="s">
        <v>2</v>
      </c>
      <c r="H8" s="5">
        <f t="shared" ref="H8:H11" si="2">+I8</f>
        <v>4000</v>
      </c>
      <c r="I8" s="46">
        <v>4000</v>
      </c>
      <c r="J8" s="6">
        <f t="shared" ref="J8:J12" si="3">IF(I8=0,"NA",(+H8-I8)/I8)</f>
        <v>0</v>
      </c>
      <c r="K8" s="46" t="e">
        <f>+#REF!</f>
        <v>#REF!</v>
      </c>
      <c r="L8" s="6" t="e">
        <f t="shared" si="0"/>
        <v>#REF!</v>
      </c>
      <c r="M8" s="46" t="e">
        <f>+#REF!</f>
        <v>#REF!</v>
      </c>
      <c r="N8" s="5">
        <v>4013</v>
      </c>
      <c r="P8" s="5">
        <v>4393</v>
      </c>
      <c r="Q8" s="5">
        <v>4000</v>
      </c>
      <c r="R8" s="6">
        <f t="shared" si="1"/>
        <v>9.8250000000000004E-2</v>
      </c>
      <c r="S8" s="83" t="s">
        <v>184</v>
      </c>
      <c r="T8" s="83" t="s">
        <v>201</v>
      </c>
    </row>
    <row r="9" spans="1:20" x14ac:dyDescent="0.25">
      <c r="A9" s="54">
        <v>5</v>
      </c>
      <c r="C9" s="1" t="s">
        <v>3</v>
      </c>
      <c r="H9" s="5">
        <f t="shared" si="2"/>
        <v>1000</v>
      </c>
      <c r="I9" s="46">
        <v>1000</v>
      </c>
      <c r="J9" s="6">
        <f t="shared" si="3"/>
        <v>0</v>
      </c>
      <c r="K9" s="46" t="e">
        <f>+#REF!</f>
        <v>#REF!</v>
      </c>
      <c r="L9" s="6" t="e">
        <f t="shared" si="0"/>
        <v>#REF!</v>
      </c>
      <c r="M9" s="46" t="e">
        <f>+#REF!</f>
        <v>#REF!</v>
      </c>
      <c r="N9" s="5">
        <v>956</v>
      </c>
      <c r="P9" s="5">
        <v>0</v>
      </c>
      <c r="Q9" s="5">
        <v>0</v>
      </c>
      <c r="R9" s="6" t="str">
        <f t="shared" si="1"/>
        <v>NA</v>
      </c>
      <c r="S9" s="83" t="s">
        <v>184</v>
      </c>
      <c r="T9" s="83" t="s">
        <v>201</v>
      </c>
    </row>
    <row r="10" spans="1:20" x14ac:dyDescent="0.25">
      <c r="A10" s="54">
        <v>6</v>
      </c>
      <c r="C10" s="1" t="s">
        <v>4</v>
      </c>
      <c r="H10" s="5">
        <f t="shared" si="2"/>
        <v>5000</v>
      </c>
      <c r="I10" s="46">
        <v>5000</v>
      </c>
      <c r="J10" s="6">
        <f t="shared" si="3"/>
        <v>0</v>
      </c>
      <c r="K10" s="46" t="e">
        <f>+#REF!</f>
        <v>#REF!</v>
      </c>
      <c r="L10" s="6" t="e">
        <f t="shared" si="0"/>
        <v>#REF!</v>
      </c>
      <c r="M10" s="46" t="e">
        <f>+#REF!</f>
        <v>#REF!</v>
      </c>
      <c r="N10" s="5">
        <v>6111</v>
      </c>
      <c r="P10" s="5">
        <v>0</v>
      </c>
      <c r="Q10" s="5">
        <v>0</v>
      </c>
      <c r="R10" s="6" t="str">
        <f t="shared" si="1"/>
        <v>NA</v>
      </c>
      <c r="S10" s="83" t="s">
        <v>184</v>
      </c>
      <c r="T10" s="83" t="s">
        <v>201</v>
      </c>
    </row>
    <row r="11" spans="1:20" x14ac:dyDescent="0.25">
      <c r="A11" s="54">
        <v>7</v>
      </c>
      <c r="C11" s="1" t="s">
        <v>5</v>
      </c>
      <c r="H11" s="5">
        <f t="shared" si="2"/>
        <v>2000</v>
      </c>
      <c r="I11" s="46">
        <v>2000</v>
      </c>
      <c r="J11" s="6">
        <f t="shared" si="3"/>
        <v>0</v>
      </c>
      <c r="K11" s="46" t="e">
        <f>+#REF!</f>
        <v>#REF!</v>
      </c>
      <c r="L11" s="6" t="e">
        <f t="shared" si="0"/>
        <v>#REF!</v>
      </c>
      <c r="M11" s="46" t="e">
        <f>+#REF!</f>
        <v>#REF!</v>
      </c>
      <c r="N11" s="5">
        <v>2716</v>
      </c>
      <c r="P11" s="5">
        <v>2423</v>
      </c>
      <c r="Q11" s="5">
        <v>2000</v>
      </c>
      <c r="R11" s="6">
        <f t="shared" si="1"/>
        <v>0.21149999999999999</v>
      </c>
      <c r="S11" s="83" t="s">
        <v>184</v>
      </c>
      <c r="T11" s="83" t="s">
        <v>201</v>
      </c>
    </row>
    <row r="12" spans="1:20" x14ac:dyDescent="0.25">
      <c r="A12" s="54">
        <v>8</v>
      </c>
      <c r="B12" s="14" t="s">
        <v>6</v>
      </c>
      <c r="C12" s="14"/>
      <c r="D12" s="14"/>
      <c r="E12" s="14"/>
      <c r="F12" s="14"/>
      <c r="G12" s="14"/>
      <c r="H12" s="14">
        <f>SUM(H7:H11)</f>
        <v>548136.74</v>
      </c>
      <c r="I12" s="14">
        <v>548136.74</v>
      </c>
      <c r="J12" s="15">
        <f t="shared" si="3"/>
        <v>0</v>
      </c>
      <c r="K12" s="14" t="e">
        <f>SUM(K7:K11)</f>
        <v>#REF!</v>
      </c>
      <c r="L12" s="15" t="e">
        <f t="shared" si="0"/>
        <v>#REF!</v>
      </c>
      <c r="M12" s="14" t="e">
        <f>SUM(M7:M11)</f>
        <v>#REF!</v>
      </c>
      <c r="N12" s="14">
        <f>SUM(N7:N11)</f>
        <v>556134</v>
      </c>
      <c r="P12" s="14">
        <f>SUM(P7:P11)</f>
        <v>381486.9</v>
      </c>
      <c r="Q12" s="14">
        <f>SUM(Q7:Q11)</f>
        <v>398352.86</v>
      </c>
      <c r="R12" s="15">
        <f t="shared" si="1"/>
        <v>-4.2339246666887147E-2</v>
      </c>
      <c r="S12" s="78"/>
      <c r="T12" s="83"/>
    </row>
    <row r="13" spans="1:20" ht="5.25" customHeight="1" x14ac:dyDescent="0.25">
      <c r="A13" s="54">
        <v>9</v>
      </c>
      <c r="J13" s="7"/>
      <c r="M13" s="1"/>
      <c r="N13" s="1"/>
      <c r="S13" s="78"/>
      <c r="T13" s="83"/>
    </row>
    <row r="14" spans="1:20" x14ac:dyDescent="0.25">
      <c r="A14" s="54">
        <v>10</v>
      </c>
      <c r="B14" s="4" t="s">
        <v>7</v>
      </c>
      <c r="J14" s="7"/>
      <c r="M14" s="1"/>
      <c r="N14" s="1"/>
      <c r="S14" s="78"/>
      <c r="T14" s="83"/>
    </row>
    <row r="15" spans="1:20" x14ac:dyDescent="0.25">
      <c r="A15" s="54">
        <v>11</v>
      </c>
      <c r="C15" s="1" t="s">
        <v>8</v>
      </c>
      <c r="H15" s="5">
        <f>+I15</f>
        <v>7500</v>
      </c>
      <c r="I15" s="46">
        <v>7500</v>
      </c>
      <c r="J15" s="6">
        <f t="shared" ref="J15:J21" si="4">IF(I15=0,"NA",(+H15-I15)/I15)</f>
        <v>0</v>
      </c>
      <c r="K15" s="46" t="e">
        <f>+#REF!</f>
        <v>#REF!</v>
      </c>
      <c r="L15" s="6" t="e">
        <f t="shared" ref="L15:L21" si="5">IF(K15=0,"NA",(+H15-K15)/K15)</f>
        <v>#REF!</v>
      </c>
      <c r="M15" s="46" t="e">
        <f>+#REF!</f>
        <v>#REF!</v>
      </c>
      <c r="N15" s="5">
        <v>10734</v>
      </c>
      <c r="P15" s="5">
        <v>3888.03</v>
      </c>
      <c r="Q15" s="5">
        <v>5000</v>
      </c>
      <c r="R15" s="6">
        <f t="shared" ref="R15:R21" si="6">IF(Q15=0,"NA",(+P15-Q15)/Q15)</f>
        <v>-0.22239399999999995</v>
      </c>
      <c r="S15" s="83" t="s">
        <v>184</v>
      </c>
      <c r="T15" s="83" t="s">
        <v>201</v>
      </c>
    </row>
    <row r="16" spans="1:20" x14ac:dyDescent="0.25">
      <c r="A16" s="54">
        <v>12</v>
      </c>
      <c r="C16" s="1" t="s">
        <v>7</v>
      </c>
      <c r="H16" s="5">
        <f t="shared" ref="H16:H19" si="7">+I16</f>
        <v>0</v>
      </c>
      <c r="I16" s="46">
        <v>0</v>
      </c>
      <c r="J16" s="6" t="str">
        <f t="shared" si="4"/>
        <v>NA</v>
      </c>
      <c r="K16" s="46" t="e">
        <f>+#REF!</f>
        <v>#REF!</v>
      </c>
      <c r="L16" s="6" t="e">
        <f t="shared" si="5"/>
        <v>#REF!</v>
      </c>
      <c r="M16" s="46" t="e">
        <f>+#REF!</f>
        <v>#REF!</v>
      </c>
      <c r="N16" s="5">
        <v>2135</v>
      </c>
      <c r="P16" s="5">
        <v>2675.15</v>
      </c>
      <c r="Q16" s="5">
        <v>0</v>
      </c>
      <c r="R16" s="6" t="str">
        <f t="shared" si="6"/>
        <v>NA</v>
      </c>
      <c r="S16" s="78"/>
      <c r="T16" s="83"/>
    </row>
    <row r="17" spans="1:20" x14ac:dyDescent="0.25">
      <c r="A17" s="54">
        <v>13</v>
      </c>
      <c r="C17" s="1" t="s">
        <v>9</v>
      </c>
      <c r="H17" s="5">
        <f t="shared" si="7"/>
        <v>0</v>
      </c>
      <c r="I17" s="46">
        <v>0</v>
      </c>
      <c r="J17" s="6" t="str">
        <f t="shared" si="4"/>
        <v>NA</v>
      </c>
      <c r="K17" s="46" t="e">
        <f>+#REF!</f>
        <v>#REF!</v>
      </c>
      <c r="L17" s="6" t="e">
        <f t="shared" si="5"/>
        <v>#REF!</v>
      </c>
      <c r="M17" s="46" t="e">
        <f>+#REF!</f>
        <v>#REF!</v>
      </c>
      <c r="N17" s="5"/>
      <c r="P17" s="5">
        <v>0</v>
      </c>
      <c r="Q17" s="5">
        <v>0</v>
      </c>
      <c r="R17" s="6" t="str">
        <f t="shared" si="6"/>
        <v>NA</v>
      </c>
      <c r="S17" s="78"/>
      <c r="T17" s="83"/>
    </row>
    <row r="18" spans="1:20" x14ac:dyDescent="0.25">
      <c r="A18" s="54">
        <v>14</v>
      </c>
      <c r="C18" s="1" t="s">
        <v>11</v>
      </c>
      <c r="H18" s="5">
        <f t="shared" si="7"/>
        <v>0</v>
      </c>
      <c r="I18" s="46">
        <v>0</v>
      </c>
      <c r="J18" s="6" t="str">
        <f t="shared" si="4"/>
        <v>NA</v>
      </c>
      <c r="K18" s="46" t="e">
        <f>+#REF!</f>
        <v>#REF!</v>
      </c>
      <c r="L18" s="6" t="e">
        <f t="shared" si="5"/>
        <v>#REF!</v>
      </c>
      <c r="M18" s="46" t="e">
        <f>+#REF!</f>
        <v>#REF!</v>
      </c>
      <c r="N18" s="5">
        <v>8</v>
      </c>
      <c r="P18" s="5">
        <v>0.93</v>
      </c>
      <c r="Q18" s="5">
        <v>0</v>
      </c>
      <c r="R18" s="6" t="str">
        <f t="shared" si="6"/>
        <v>NA</v>
      </c>
      <c r="S18" s="78"/>
      <c r="T18" s="83"/>
    </row>
    <row r="19" spans="1:20" x14ac:dyDescent="0.25">
      <c r="A19" s="54">
        <v>15</v>
      </c>
      <c r="C19" s="1" t="s">
        <v>120</v>
      </c>
      <c r="H19" s="5">
        <f t="shared" si="7"/>
        <v>0</v>
      </c>
      <c r="I19" s="46">
        <v>0</v>
      </c>
      <c r="J19" s="6" t="str">
        <f t="shared" si="4"/>
        <v>NA</v>
      </c>
      <c r="K19" s="46" t="e">
        <f>+#REF!</f>
        <v>#REF!</v>
      </c>
      <c r="L19" s="6" t="e">
        <f t="shared" si="5"/>
        <v>#REF!</v>
      </c>
      <c r="M19" s="46" t="e">
        <f>+#REF!</f>
        <v>#REF!</v>
      </c>
      <c r="N19" s="5">
        <v>0</v>
      </c>
      <c r="P19" s="5">
        <v>757</v>
      </c>
      <c r="Q19" s="5">
        <v>0</v>
      </c>
      <c r="R19" s="6" t="str">
        <f t="shared" si="6"/>
        <v>NA</v>
      </c>
      <c r="S19" s="78"/>
      <c r="T19" s="83"/>
    </row>
    <row r="20" spans="1:20" x14ac:dyDescent="0.25">
      <c r="A20" s="54">
        <v>16</v>
      </c>
      <c r="B20" s="14" t="s">
        <v>10</v>
      </c>
      <c r="C20" s="14"/>
      <c r="D20" s="14"/>
      <c r="E20" s="14"/>
      <c r="F20" s="14"/>
      <c r="G20" s="14"/>
      <c r="H20" s="14">
        <f>SUM(H15:H19)</f>
        <v>7500</v>
      </c>
      <c r="I20" s="14">
        <v>7500</v>
      </c>
      <c r="J20" s="15">
        <f t="shared" si="4"/>
        <v>0</v>
      </c>
      <c r="K20" s="14" t="e">
        <f t="shared" ref="K20:N20" si="8">SUM(K15:K19)</f>
        <v>#REF!</v>
      </c>
      <c r="L20" s="15" t="e">
        <f t="shared" si="5"/>
        <v>#REF!</v>
      </c>
      <c r="M20" s="14" t="e">
        <f t="shared" ref="M20" si="9">SUM(M15:M19)</f>
        <v>#REF!</v>
      </c>
      <c r="N20" s="14">
        <f t="shared" si="8"/>
        <v>12877</v>
      </c>
      <c r="P20" s="14">
        <f t="shared" ref="P20:Q20" si="10">SUM(P15:P19)</f>
        <v>7321.1100000000006</v>
      </c>
      <c r="Q20" s="14">
        <f t="shared" si="10"/>
        <v>5000</v>
      </c>
      <c r="R20" s="15">
        <f t="shared" si="6"/>
        <v>0.46422200000000013</v>
      </c>
      <c r="S20" s="78"/>
      <c r="T20" s="83"/>
    </row>
    <row r="21" spans="1:20" x14ac:dyDescent="0.25">
      <c r="A21" s="54">
        <v>17</v>
      </c>
      <c r="B21" s="14" t="s">
        <v>12</v>
      </c>
      <c r="C21" s="14"/>
      <c r="D21" s="14"/>
      <c r="E21" s="14"/>
      <c r="F21" s="14"/>
      <c r="G21" s="14"/>
      <c r="H21" s="14">
        <f>+H12+H20</f>
        <v>555636.74</v>
      </c>
      <c r="I21" s="14">
        <v>555636.74</v>
      </c>
      <c r="J21" s="15">
        <f t="shared" si="4"/>
        <v>0</v>
      </c>
      <c r="K21" s="14" t="e">
        <f t="shared" ref="K21:N21" si="11">+K12+K20</f>
        <v>#REF!</v>
      </c>
      <c r="L21" s="15" t="e">
        <f t="shared" si="5"/>
        <v>#REF!</v>
      </c>
      <c r="M21" s="14" t="e">
        <f t="shared" ref="M21" si="12">+M12+M20</f>
        <v>#REF!</v>
      </c>
      <c r="N21" s="14">
        <f t="shared" si="11"/>
        <v>569011</v>
      </c>
      <c r="P21" s="14">
        <f t="shared" ref="P21:Q21" si="13">+P12+P20</f>
        <v>388808.01</v>
      </c>
      <c r="Q21" s="14">
        <f t="shared" si="13"/>
        <v>403352.86</v>
      </c>
      <c r="R21" s="15">
        <f t="shared" si="6"/>
        <v>-3.6059865795918682E-2</v>
      </c>
      <c r="S21" s="78"/>
      <c r="T21" s="83"/>
    </row>
    <row r="22" spans="1:20" ht="6" customHeight="1" x14ac:dyDescent="0.25">
      <c r="A22" s="54">
        <v>18</v>
      </c>
      <c r="J22" s="7"/>
      <c r="M22" s="1"/>
      <c r="N22" s="1"/>
      <c r="S22" s="78"/>
      <c r="T22" s="83"/>
    </row>
    <row r="23" spans="1:20" ht="18.75" x14ac:dyDescent="0.25">
      <c r="A23" s="54">
        <v>19</v>
      </c>
      <c r="B23" s="10" t="s">
        <v>13</v>
      </c>
      <c r="J23" s="7"/>
      <c r="M23" s="1"/>
      <c r="N23" s="1"/>
      <c r="S23" s="78"/>
      <c r="T23" s="83"/>
    </row>
    <row r="24" spans="1:20" ht="18.75" x14ac:dyDescent="0.25">
      <c r="A24" s="54">
        <v>20</v>
      </c>
      <c r="B24" s="10" t="s">
        <v>116</v>
      </c>
      <c r="J24" s="7"/>
      <c r="M24" s="1"/>
      <c r="N24" s="1"/>
      <c r="S24" s="78"/>
      <c r="T24" s="83"/>
    </row>
    <row r="25" spans="1:20" x14ac:dyDescent="0.25">
      <c r="A25" s="54">
        <v>21</v>
      </c>
      <c r="C25" s="1" t="s">
        <v>15</v>
      </c>
      <c r="H25" s="1">
        <f>+H21</f>
        <v>555636.74</v>
      </c>
      <c r="I25" s="1">
        <v>555636.74</v>
      </c>
      <c r="J25" s="7"/>
      <c r="M25" s="1"/>
      <c r="N25" s="1"/>
      <c r="S25" s="78"/>
      <c r="T25" s="83"/>
    </row>
    <row r="26" spans="1:20" x14ac:dyDescent="0.25">
      <c r="A26" s="54">
        <v>22</v>
      </c>
      <c r="C26" s="1" t="s">
        <v>14</v>
      </c>
      <c r="H26" s="46">
        <f>-H150</f>
        <v>-9150</v>
      </c>
      <c r="I26" s="46">
        <v>-54900</v>
      </c>
      <c r="J26" s="7"/>
      <c r="M26" s="1"/>
      <c r="N26" s="1"/>
      <c r="P26" s="46"/>
      <c r="Q26" s="46"/>
      <c r="S26" s="78"/>
      <c r="T26" s="83"/>
    </row>
    <row r="27" spans="1:20" x14ac:dyDescent="0.25">
      <c r="A27" s="54">
        <v>23</v>
      </c>
      <c r="C27" s="1" t="s">
        <v>16</v>
      </c>
      <c r="H27" s="46">
        <f>-H160</f>
        <v>-7000</v>
      </c>
      <c r="I27" s="46">
        <v>-3389</v>
      </c>
      <c r="J27" s="7"/>
      <c r="M27" s="1"/>
      <c r="N27" s="1"/>
      <c r="P27" s="46"/>
      <c r="Q27" s="46"/>
      <c r="S27" s="78"/>
      <c r="T27" s="83"/>
    </row>
    <row r="28" spans="1:20" x14ac:dyDescent="0.25">
      <c r="A28" s="54">
        <v>24</v>
      </c>
      <c r="C28" s="1" t="s">
        <v>17</v>
      </c>
      <c r="H28" s="46">
        <f>-H151</f>
        <v>-1650</v>
      </c>
      <c r="I28" s="46">
        <v>-1650</v>
      </c>
      <c r="J28" s="7"/>
      <c r="M28" s="1"/>
      <c r="N28" s="1"/>
      <c r="P28" s="46"/>
      <c r="Q28" s="46"/>
      <c r="S28" s="78"/>
      <c r="T28" s="83"/>
    </row>
    <row r="29" spans="1:20" x14ac:dyDescent="0.25">
      <c r="A29" s="54">
        <v>25</v>
      </c>
      <c r="C29" s="1" t="s">
        <v>15</v>
      </c>
      <c r="H29" s="1">
        <f>SUM(H25:H28)</f>
        <v>537836.74</v>
      </c>
      <c r="I29" s="1">
        <v>495697.74</v>
      </c>
      <c r="J29" s="7"/>
      <c r="M29" s="1"/>
      <c r="N29" s="1"/>
      <c r="S29" s="78"/>
      <c r="T29" s="83"/>
    </row>
    <row r="30" spans="1:20" s="4" customFormat="1" x14ac:dyDescent="0.25">
      <c r="A30" s="54">
        <v>26</v>
      </c>
      <c r="B30" s="16"/>
      <c r="C30" s="17" t="s">
        <v>117</v>
      </c>
      <c r="D30" s="16"/>
      <c r="E30" s="16"/>
      <c r="F30" s="16"/>
      <c r="G30" s="16"/>
      <c r="H30" s="16">
        <f>ROUND(+H29*0.1,0)</f>
        <v>53784</v>
      </c>
      <c r="I30" s="56">
        <v>49570</v>
      </c>
      <c r="J30" s="19">
        <f>IF(I30=0,"NA",(+H30-I30)/I30)</f>
        <v>8.5011095420617314E-2</v>
      </c>
      <c r="K30" s="56" t="e">
        <f>+#REF!</f>
        <v>#REF!</v>
      </c>
      <c r="L30" s="19" t="e">
        <f>IF(K30=0,"NA",(+H30-K30)/K30)</f>
        <v>#REF!</v>
      </c>
      <c r="M30" s="56" t="e">
        <f>+#REF!</f>
        <v>#REF!</v>
      </c>
      <c r="N30" s="18">
        <v>51179</v>
      </c>
      <c r="O30" s="16"/>
      <c r="P30" s="82">
        <v>30120.22</v>
      </c>
      <c r="Q30" s="82">
        <v>30395.58</v>
      </c>
      <c r="R30" s="19">
        <f>IF(Q30=0,"NA",(+P30-Q30)/Q30)</f>
        <v>-9.0592118985721136E-3</v>
      </c>
      <c r="S30" s="86" t="s">
        <v>115</v>
      </c>
      <c r="T30" s="86" t="s">
        <v>115</v>
      </c>
    </row>
    <row r="31" spans="1:20" s="4" customFormat="1" ht="6.75" customHeight="1" x14ac:dyDescent="0.25">
      <c r="A31" s="54">
        <v>27</v>
      </c>
      <c r="B31" s="20"/>
      <c r="C31" s="21"/>
      <c r="D31" s="20"/>
      <c r="E31" s="20"/>
      <c r="F31" s="20"/>
      <c r="G31" s="20"/>
      <c r="H31" s="20"/>
      <c r="I31" s="22"/>
      <c r="J31" s="23"/>
      <c r="K31" s="22"/>
      <c r="L31" s="23"/>
      <c r="M31" s="22"/>
      <c r="N31" s="22"/>
      <c r="O31" s="20"/>
      <c r="P31" s="20"/>
      <c r="Q31" s="20"/>
      <c r="R31" s="23"/>
      <c r="S31" s="79"/>
      <c r="T31" s="86"/>
    </row>
    <row r="32" spans="1:20" s="4" customFormat="1" ht="18.75" x14ac:dyDescent="0.25">
      <c r="A32" s="54">
        <v>28</v>
      </c>
      <c r="B32" s="24" t="s">
        <v>80</v>
      </c>
      <c r="C32" s="21"/>
      <c r="D32" s="20"/>
      <c r="E32" s="20"/>
      <c r="F32" s="20"/>
      <c r="G32" s="20"/>
      <c r="H32" s="20"/>
      <c r="I32" s="22"/>
      <c r="J32" s="23"/>
      <c r="K32" s="22"/>
      <c r="L32" s="23"/>
      <c r="M32" s="22"/>
      <c r="N32" s="22"/>
      <c r="O32" s="20"/>
      <c r="P32" s="20"/>
      <c r="Q32" s="20"/>
      <c r="R32" s="23"/>
      <c r="S32" s="79"/>
      <c r="T32" s="86"/>
    </row>
    <row r="33" spans="1:20" x14ac:dyDescent="0.25">
      <c r="A33" s="54">
        <v>29</v>
      </c>
      <c r="B33" s="4" t="s">
        <v>18</v>
      </c>
      <c r="J33" s="7"/>
      <c r="M33" s="1"/>
      <c r="N33" s="1"/>
      <c r="S33" s="78"/>
      <c r="T33" s="83"/>
    </row>
    <row r="34" spans="1:20" ht="30" x14ac:dyDescent="0.25">
      <c r="A34" s="54">
        <v>30</v>
      </c>
      <c r="C34" s="1" t="s">
        <v>106</v>
      </c>
      <c r="H34" s="5">
        <f>+I34</f>
        <v>3000</v>
      </c>
      <c r="I34" s="46">
        <v>3000</v>
      </c>
      <c r="J34" s="6">
        <f t="shared" ref="J34:J40" si="14">IF(I34=0,"NA",(+H34-I34)/I34)</f>
        <v>0</v>
      </c>
      <c r="K34" s="46" t="e">
        <f>+#REF!</f>
        <v>#REF!</v>
      </c>
      <c r="L34" s="6" t="e">
        <f t="shared" ref="L34:L40" si="15">IF(K34=0,"NA",(+H34-K34)/K34)</f>
        <v>#REF!</v>
      </c>
      <c r="M34" s="46" t="e">
        <f>+#REF!</f>
        <v>#REF!</v>
      </c>
      <c r="N34" s="5">
        <v>4256</v>
      </c>
      <c r="P34" s="5">
        <v>778.69</v>
      </c>
      <c r="Q34" s="5">
        <v>1800</v>
      </c>
      <c r="R34" s="6">
        <f t="shared" ref="R34:R40" si="16">IF(Q34=0,"NA",(+P34-Q34)/Q34)</f>
        <v>-0.56739444444444442</v>
      </c>
      <c r="S34" s="78"/>
      <c r="T34" s="83" t="s">
        <v>150</v>
      </c>
    </row>
    <row r="35" spans="1:20" x14ac:dyDescent="0.25">
      <c r="A35" s="54">
        <v>31</v>
      </c>
      <c r="C35" s="1" t="s">
        <v>19</v>
      </c>
      <c r="H35" s="5">
        <f t="shared" ref="H35:H39" si="17">+I35</f>
        <v>1000</v>
      </c>
      <c r="I35" s="46">
        <v>1000</v>
      </c>
      <c r="J35" s="6">
        <f t="shared" si="14"/>
        <v>0</v>
      </c>
      <c r="K35" s="46" t="e">
        <f>+#REF!</f>
        <v>#REF!</v>
      </c>
      <c r="L35" s="6" t="e">
        <f t="shared" si="15"/>
        <v>#REF!</v>
      </c>
      <c r="M35" s="46" t="e">
        <f>+#REF!</f>
        <v>#REF!</v>
      </c>
      <c r="N35" s="5">
        <v>2277</v>
      </c>
      <c r="P35" s="5">
        <v>252.95</v>
      </c>
      <c r="Q35" s="5">
        <v>555</v>
      </c>
      <c r="R35" s="6">
        <f t="shared" si="16"/>
        <v>-0.54423423423423423</v>
      </c>
      <c r="S35" s="78"/>
      <c r="T35" s="83" t="s">
        <v>145</v>
      </c>
    </row>
    <row r="36" spans="1:20" ht="30" x14ac:dyDescent="0.25">
      <c r="A36" s="54">
        <v>32</v>
      </c>
      <c r="C36" s="1" t="s">
        <v>20</v>
      </c>
      <c r="H36" s="5">
        <f t="shared" si="17"/>
        <v>1200</v>
      </c>
      <c r="I36" s="46">
        <v>1200</v>
      </c>
      <c r="J36" s="6">
        <f t="shared" si="14"/>
        <v>0</v>
      </c>
      <c r="K36" s="46" t="e">
        <f>+#REF!</f>
        <v>#REF!</v>
      </c>
      <c r="L36" s="6" t="e">
        <f t="shared" si="15"/>
        <v>#REF!</v>
      </c>
      <c r="M36" s="46" t="e">
        <f>+#REF!</f>
        <v>#REF!</v>
      </c>
      <c r="N36" s="5">
        <v>1278</v>
      </c>
      <c r="P36" s="5">
        <v>1147.1300000000001</v>
      </c>
      <c r="Q36" s="5">
        <v>1200</v>
      </c>
      <c r="R36" s="6">
        <f t="shared" si="16"/>
        <v>-4.4058333333333241E-2</v>
      </c>
      <c r="S36" s="78"/>
      <c r="T36" s="83" t="s">
        <v>147</v>
      </c>
    </row>
    <row r="37" spans="1:20" x14ac:dyDescent="0.25">
      <c r="A37" s="54">
        <v>33</v>
      </c>
      <c r="C37" s="1" t="s">
        <v>21</v>
      </c>
      <c r="H37" s="5">
        <f t="shared" si="17"/>
        <v>300</v>
      </c>
      <c r="I37" s="46">
        <v>300</v>
      </c>
      <c r="J37" s="6">
        <f t="shared" si="14"/>
        <v>0</v>
      </c>
      <c r="K37" s="46" t="e">
        <f>+#REF!</f>
        <v>#REF!</v>
      </c>
      <c r="L37" s="6" t="e">
        <f t="shared" si="15"/>
        <v>#REF!</v>
      </c>
      <c r="M37" s="46" t="e">
        <f>+#REF!</f>
        <v>#REF!</v>
      </c>
      <c r="N37" s="5">
        <v>773</v>
      </c>
      <c r="P37" s="5">
        <v>291.73</v>
      </c>
      <c r="Q37" s="5">
        <v>0</v>
      </c>
      <c r="R37" s="6" t="str">
        <f t="shared" si="16"/>
        <v>NA</v>
      </c>
      <c r="S37" s="78"/>
      <c r="T37" s="83" t="s">
        <v>146</v>
      </c>
    </row>
    <row r="38" spans="1:20" x14ac:dyDescent="0.25">
      <c r="A38" s="54">
        <v>34</v>
      </c>
      <c r="C38" s="1" t="s">
        <v>22</v>
      </c>
      <c r="H38" s="5">
        <f t="shared" si="17"/>
        <v>140</v>
      </c>
      <c r="I38" s="46">
        <v>140</v>
      </c>
      <c r="J38" s="6">
        <f t="shared" si="14"/>
        <v>0</v>
      </c>
      <c r="K38" s="46" t="e">
        <f>+#REF!</f>
        <v>#REF!</v>
      </c>
      <c r="L38" s="6" t="e">
        <f t="shared" si="15"/>
        <v>#REF!</v>
      </c>
      <c r="M38" s="46" t="e">
        <f>+#REF!</f>
        <v>#REF!</v>
      </c>
      <c r="N38" s="5">
        <v>259</v>
      </c>
      <c r="P38" s="5">
        <v>65.59</v>
      </c>
      <c r="Q38" s="5">
        <v>140</v>
      </c>
      <c r="R38" s="6">
        <f t="shared" si="16"/>
        <v>-0.53149999999999997</v>
      </c>
      <c r="S38" s="78"/>
      <c r="T38" s="83" t="s">
        <v>152</v>
      </c>
    </row>
    <row r="39" spans="1:20" x14ac:dyDescent="0.25">
      <c r="A39" s="54">
        <v>35</v>
      </c>
      <c r="C39" s="1" t="s">
        <v>110</v>
      </c>
      <c r="H39" s="5">
        <f t="shared" si="17"/>
        <v>400</v>
      </c>
      <c r="I39" s="46">
        <v>400</v>
      </c>
      <c r="J39" s="6">
        <f t="shared" si="14"/>
        <v>0</v>
      </c>
      <c r="K39" s="46" t="e">
        <f>+#REF!</f>
        <v>#REF!</v>
      </c>
      <c r="L39" s="6" t="e">
        <f t="shared" si="15"/>
        <v>#REF!</v>
      </c>
      <c r="M39" s="46" t="e">
        <f>+#REF!</f>
        <v>#REF!</v>
      </c>
      <c r="N39" s="5">
        <v>459</v>
      </c>
      <c r="P39" s="5">
        <v>466.43</v>
      </c>
      <c r="Q39" s="5">
        <v>266.64</v>
      </c>
      <c r="R39" s="6">
        <f t="shared" si="16"/>
        <v>0.74928742874287435</v>
      </c>
      <c r="S39" s="80"/>
      <c r="T39" s="87" t="s">
        <v>149</v>
      </c>
    </row>
    <row r="40" spans="1:20" s="4" customFormat="1" x14ac:dyDescent="0.25">
      <c r="A40" s="54">
        <v>36</v>
      </c>
      <c r="B40" s="25" t="s">
        <v>23</v>
      </c>
      <c r="C40" s="25"/>
      <c r="D40" s="25"/>
      <c r="E40" s="45"/>
      <c r="F40" s="45"/>
      <c r="G40" s="45"/>
      <c r="H40" s="25">
        <f>SUM(H34:H39)</f>
        <v>6040</v>
      </c>
      <c r="I40" s="25">
        <v>6040</v>
      </c>
      <c r="J40" s="26">
        <f t="shared" si="14"/>
        <v>0</v>
      </c>
      <c r="K40" s="25" t="e">
        <f t="shared" ref="K40:N40" si="18">SUM(K34:K39)</f>
        <v>#REF!</v>
      </c>
      <c r="L40" s="26" t="e">
        <f t="shared" si="15"/>
        <v>#REF!</v>
      </c>
      <c r="M40" s="45" t="e">
        <f t="shared" ref="M40" si="19">SUM(M34:M39)</f>
        <v>#REF!</v>
      </c>
      <c r="N40" s="45">
        <f t="shared" si="18"/>
        <v>9302</v>
      </c>
      <c r="P40" s="45">
        <f t="shared" ref="P40:Q40" si="20">SUM(P34:P39)</f>
        <v>3002.5200000000004</v>
      </c>
      <c r="Q40" s="45">
        <f t="shared" si="20"/>
        <v>3961.64</v>
      </c>
      <c r="R40" s="26">
        <f t="shared" si="16"/>
        <v>-0.242101755838491</v>
      </c>
      <c r="S40" s="79"/>
      <c r="T40" s="86" t="s">
        <v>148</v>
      </c>
    </row>
    <row r="41" spans="1:20" ht="6" customHeight="1" x14ac:dyDescent="0.25">
      <c r="A41" s="54">
        <v>37</v>
      </c>
      <c r="J41" s="7"/>
      <c r="M41" s="1"/>
      <c r="N41" s="1"/>
      <c r="S41" s="78"/>
      <c r="T41" s="83"/>
    </row>
    <row r="42" spans="1:20" x14ac:dyDescent="0.25">
      <c r="A42" s="54">
        <v>38</v>
      </c>
      <c r="B42" s="25" t="s">
        <v>24</v>
      </c>
      <c r="C42" s="25"/>
      <c r="D42" s="25"/>
      <c r="E42" s="45"/>
      <c r="F42" s="45"/>
      <c r="G42" s="45"/>
      <c r="H42" s="27">
        <f>+I42</f>
        <v>750</v>
      </c>
      <c r="I42" s="57">
        <v>750</v>
      </c>
      <c r="J42" s="26">
        <f>IF(I42=0,"NA",(+H42-I42)/I42)</f>
        <v>0</v>
      </c>
      <c r="K42" s="57" t="e">
        <f>+#REF!</f>
        <v>#REF!</v>
      </c>
      <c r="L42" s="26" t="e">
        <f>IF(K42=0,"NA",(+H42-K42)/K42)</f>
        <v>#REF!</v>
      </c>
      <c r="M42" s="57" t="e">
        <f>+#REF!</f>
        <v>#REF!</v>
      </c>
      <c r="N42" s="27">
        <v>0</v>
      </c>
      <c r="P42" s="27">
        <v>360.42</v>
      </c>
      <c r="Q42" s="27">
        <v>500</v>
      </c>
      <c r="R42" s="26">
        <f>IF(Q42=0,"NA",(+P42-Q42)/Q42)</f>
        <v>-0.27915999999999996</v>
      </c>
      <c r="S42" s="87"/>
      <c r="T42" s="87" t="s">
        <v>151</v>
      </c>
    </row>
    <row r="43" spans="1:20" ht="7.5" customHeight="1" x14ac:dyDescent="0.25">
      <c r="A43" s="54">
        <v>39</v>
      </c>
      <c r="J43" s="7"/>
      <c r="M43" s="1"/>
      <c r="N43" s="1"/>
      <c r="S43" s="78"/>
      <c r="T43" s="83"/>
    </row>
    <row r="44" spans="1:20" x14ac:dyDescent="0.25">
      <c r="A44" s="54">
        <v>40</v>
      </c>
      <c r="B44" s="4" t="s">
        <v>25</v>
      </c>
      <c r="J44" s="7"/>
      <c r="M44" s="1"/>
      <c r="N44" s="1"/>
      <c r="S44" s="78"/>
      <c r="T44" s="83"/>
    </row>
    <row r="45" spans="1:20" ht="45" x14ac:dyDescent="0.25">
      <c r="A45" s="54">
        <v>41</v>
      </c>
      <c r="C45" s="1" t="s">
        <v>27</v>
      </c>
      <c r="H45" s="5">
        <f>+I45</f>
        <v>5200</v>
      </c>
      <c r="I45" s="46">
        <v>5200</v>
      </c>
      <c r="J45" s="6">
        <f t="shared" ref="J45:J49" si="21">IF(I45=0,"NA",(+H45-I45)/I45)</f>
        <v>0</v>
      </c>
      <c r="K45" s="46" t="e">
        <f>+#REF!</f>
        <v>#REF!</v>
      </c>
      <c r="L45" s="6" t="e">
        <f>IF(K45=0,"NA",(+H45-K45)/K45)</f>
        <v>#REF!</v>
      </c>
      <c r="M45" s="46" t="e">
        <f>+#REF!</f>
        <v>#REF!</v>
      </c>
      <c r="N45" s="5">
        <v>7075</v>
      </c>
      <c r="P45" s="5">
        <v>3522.1</v>
      </c>
      <c r="Q45" s="5">
        <v>3466.64</v>
      </c>
      <c r="R45" s="6">
        <f>IF(Q45=0,"NA",(+P45-Q45)/Q45)</f>
        <v>1.599819998615375E-2</v>
      </c>
      <c r="S45" s="85" t="s">
        <v>249</v>
      </c>
      <c r="T45" s="83" t="s">
        <v>153</v>
      </c>
    </row>
    <row r="46" spans="1:20" x14ac:dyDescent="0.25">
      <c r="A46" s="54">
        <v>42</v>
      </c>
      <c r="C46" s="1" t="s">
        <v>188</v>
      </c>
      <c r="H46" s="5">
        <f t="shared" ref="H46:H48" si="22">+I46</f>
        <v>1300</v>
      </c>
      <c r="I46" s="46">
        <v>1300</v>
      </c>
      <c r="J46" s="6">
        <f t="shared" si="21"/>
        <v>0</v>
      </c>
      <c r="K46" s="46" t="e">
        <f>+#REF!</f>
        <v>#REF!</v>
      </c>
      <c r="L46" s="6" t="e">
        <f>IF(K46=0,"NA",(+H46-K46)/K46)</f>
        <v>#REF!</v>
      </c>
      <c r="M46" s="46" t="e">
        <f>+#REF!</f>
        <v>#REF!</v>
      </c>
      <c r="N46" s="5">
        <v>0</v>
      </c>
      <c r="P46" s="63">
        <v>650</v>
      </c>
      <c r="Q46" s="63">
        <v>866.64</v>
      </c>
      <c r="R46" s="6">
        <f>IF(Q46=0,"NA",(+P46-Q46)/Q46)</f>
        <v>-0.24997692236684205</v>
      </c>
      <c r="S46" s="78"/>
      <c r="T46" s="83" t="s">
        <v>154</v>
      </c>
    </row>
    <row r="47" spans="1:20" x14ac:dyDescent="0.25">
      <c r="A47" s="54">
        <v>43</v>
      </c>
      <c r="C47" s="1" t="s">
        <v>29</v>
      </c>
      <c r="H47" s="5">
        <f t="shared" si="22"/>
        <v>800</v>
      </c>
      <c r="I47" s="46">
        <v>800</v>
      </c>
      <c r="J47" s="6">
        <f t="shared" si="21"/>
        <v>0</v>
      </c>
      <c r="K47" s="46" t="e">
        <f>+#REF!</f>
        <v>#REF!</v>
      </c>
      <c r="L47" s="6" t="e">
        <f>IF(K47=0,"NA",(+H47-K47)/K47)</f>
        <v>#REF!</v>
      </c>
      <c r="M47" s="46" t="e">
        <f>+#REF!</f>
        <v>#REF!</v>
      </c>
      <c r="N47" s="5">
        <v>0</v>
      </c>
      <c r="P47" s="5">
        <v>72.36</v>
      </c>
      <c r="Q47" s="5">
        <v>533.36</v>
      </c>
      <c r="R47" s="6">
        <f>IF(Q47=0,"NA",(+P47-Q47)/Q47)</f>
        <v>-0.86433178341082939</v>
      </c>
      <c r="S47" s="78"/>
      <c r="T47" s="83" t="s">
        <v>155</v>
      </c>
    </row>
    <row r="48" spans="1:20" x14ac:dyDescent="0.25">
      <c r="A48" s="54">
        <v>44</v>
      </c>
      <c r="C48" s="1" t="s">
        <v>30</v>
      </c>
      <c r="H48" s="5">
        <f t="shared" si="22"/>
        <v>200</v>
      </c>
      <c r="I48" s="46">
        <v>200</v>
      </c>
      <c r="J48" s="6">
        <f t="shared" si="21"/>
        <v>0</v>
      </c>
      <c r="K48" s="46" t="e">
        <f>+#REF!</f>
        <v>#REF!</v>
      </c>
      <c r="L48" s="6" t="e">
        <f>IF(K48=0,"NA",(+H48-K48)/K48)</f>
        <v>#REF!</v>
      </c>
      <c r="M48" s="46" t="e">
        <f>+#REF!</f>
        <v>#REF!</v>
      </c>
      <c r="N48" s="5">
        <v>1051</v>
      </c>
      <c r="P48" s="5">
        <v>15.5</v>
      </c>
      <c r="Q48" s="5">
        <v>133.36000000000001</v>
      </c>
      <c r="R48" s="6">
        <f>IF(Q48=0,"NA",(+P48-Q48)/Q48)</f>
        <v>-0.88377324535092983</v>
      </c>
      <c r="S48" s="78"/>
      <c r="T48" s="83" t="s">
        <v>156</v>
      </c>
    </row>
    <row r="49" spans="1:20" s="4" customFormat="1" x14ac:dyDescent="0.25">
      <c r="A49" s="54">
        <v>45</v>
      </c>
      <c r="B49" s="25" t="s">
        <v>26</v>
      </c>
      <c r="C49" s="25"/>
      <c r="D49" s="25"/>
      <c r="E49" s="45"/>
      <c r="F49" s="45"/>
      <c r="G49" s="45"/>
      <c r="H49" s="25">
        <f>SUM(H45:H48)</f>
        <v>7500</v>
      </c>
      <c r="I49" s="25">
        <v>7500</v>
      </c>
      <c r="J49" s="26">
        <f t="shared" si="21"/>
        <v>0</v>
      </c>
      <c r="K49" s="25" t="e">
        <f>SUM(K45:K48)</f>
        <v>#REF!</v>
      </c>
      <c r="L49" s="26" t="e">
        <f>IF(K49=0,"NA",(+H49-K49)/K49)</f>
        <v>#REF!</v>
      </c>
      <c r="M49" s="45" t="e">
        <f>SUM(M45:M48)</f>
        <v>#REF!</v>
      </c>
      <c r="N49" s="45">
        <f>SUM(N45:N48)</f>
        <v>8126</v>
      </c>
      <c r="P49" s="45">
        <f>SUM(P45:P48)</f>
        <v>4259.96</v>
      </c>
      <c r="Q49" s="45">
        <f>SUM(Q45:Q48)</f>
        <v>4999.9999999999991</v>
      </c>
      <c r="R49" s="26">
        <f>IF(Q49=0,"NA",(+P49-Q49)/Q49)</f>
        <v>-0.14800799999999983</v>
      </c>
      <c r="S49" s="79"/>
      <c r="T49" s="86" t="s">
        <v>157</v>
      </c>
    </row>
    <row r="50" spans="1:20" ht="6.75" customHeight="1" x14ac:dyDescent="0.25">
      <c r="A50" s="54">
        <v>46</v>
      </c>
      <c r="J50" s="7"/>
      <c r="M50" s="1"/>
      <c r="N50" s="1"/>
      <c r="S50" s="78"/>
      <c r="T50" s="83"/>
    </row>
    <row r="51" spans="1:20" s="4" customFormat="1" x14ac:dyDescent="0.25">
      <c r="A51" s="54">
        <v>51</v>
      </c>
      <c r="B51" s="25" t="s">
        <v>31</v>
      </c>
      <c r="C51" s="25"/>
      <c r="D51" s="25"/>
      <c r="E51" s="45"/>
      <c r="F51" s="45"/>
      <c r="G51" s="45"/>
      <c r="H51" s="91">
        <v>10000</v>
      </c>
      <c r="I51" s="91">
        <v>8000</v>
      </c>
      <c r="J51" s="26">
        <f t="shared" ref="J51" si="23">IF(I51=0,"NA",(+H51-I51)/I51)</f>
        <v>0.25</v>
      </c>
      <c r="K51" s="25" t="e">
        <f>+#REF!</f>
        <v>#REF!</v>
      </c>
      <c r="L51" s="26" t="e">
        <f>IF(K51=0,"NA",(+H51-K51)/K51)</f>
        <v>#REF!</v>
      </c>
      <c r="M51" s="45" t="e">
        <f>+#REF!</f>
        <v>#REF!</v>
      </c>
      <c r="N51" s="45">
        <v>5311</v>
      </c>
      <c r="P51" s="91">
        <v>3307.41</v>
      </c>
      <c r="Q51" s="91">
        <v>5333.36</v>
      </c>
      <c r="R51" s="26">
        <f>IF(Q51=0,"NA",(+P51-Q51)/Q51)</f>
        <v>-0.37986372568137156</v>
      </c>
      <c r="S51" s="83" t="s">
        <v>248</v>
      </c>
      <c r="T51" s="86"/>
    </row>
    <row r="52" spans="1:20" ht="6.75" customHeight="1" x14ac:dyDescent="0.25">
      <c r="A52" s="54">
        <v>52</v>
      </c>
      <c r="J52" s="7"/>
      <c r="M52" s="1"/>
      <c r="N52" s="1"/>
      <c r="S52" s="78"/>
      <c r="T52" s="83"/>
    </row>
    <row r="53" spans="1:20" x14ac:dyDescent="0.25">
      <c r="A53" s="54">
        <v>53</v>
      </c>
      <c r="B53" s="4" t="s">
        <v>119</v>
      </c>
      <c r="J53" s="7"/>
      <c r="M53" s="1"/>
      <c r="N53" s="1"/>
      <c r="S53" s="78"/>
      <c r="T53" s="83"/>
    </row>
    <row r="54" spans="1:20" ht="30" x14ac:dyDescent="0.25">
      <c r="A54" s="54">
        <v>54</v>
      </c>
      <c r="C54" s="1" t="s">
        <v>121</v>
      </c>
      <c r="H54" s="5">
        <v>400</v>
      </c>
      <c r="I54" s="46">
        <v>300</v>
      </c>
      <c r="J54" s="6">
        <f t="shared" ref="J54:J56" si="24">IF(I54=0,"NA",(+H54-I54)/I54)</f>
        <v>0.33333333333333331</v>
      </c>
      <c r="K54" s="46" t="e">
        <f>+#REF!</f>
        <v>#REF!</v>
      </c>
      <c r="L54" s="6" t="e">
        <f>IF(K54=0,"NA",(+H54-K54)/K54)</f>
        <v>#REF!</v>
      </c>
      <c r="M54" s="46" t="e">
        <f>+#REF!</f>
        <v>#REF!</v>
      </c>
      <c r="N54" s="5">
        <v>-366</v>
      </c>
      <c r="P54" s="5">
        <v>122.18</v>
      </c>
      <c r="Q54" s="5">
        <v>200</v>
      </c>
      <c r="R54" s="6">
        <f>IF(Q54=0,"NA",(+P54-Q54)/Q54)</f>
        <v>-0.38909999999999995</v>
      </c>
      <c r="S54" s="83" t="s">
        <v>192</v>
      </c>
      <c r="T54" s="83" t="s">
        <v>246</v>
      </c>
    </row>
    <row r="55" spans="1:20" x14ac:dyDescent="0.25">
      <c r="A55" s="54">
        <v>55</v>
      </c>
      <c r="C55" s="1" t="s">
        <v>114</v>
      </c>
      <c r="H55" s="5">
        <v>500</v>
      </c>
      <c r="I55" s="46">
        <v>300</v>
      </c>
      <c r="J55" s="6">
        <f t="shared" si="24"/>
        <v>0.66666666666666663</v>
      </c>
      <c r="K55" s="46" t="e">
        <f>+#REF!</f>
        <v>#REF!</v>
      </c>
      <c r="L55" s="6" t="e">
        <f>IF(K55=0,"NA",(+H55-K55)/K55)</f>
        <v>#REF!</v>
      </c>
      <c r="M55" s="46" t="e">
        <f>+#REF!</f>
        <v>#REF!</v>
      </c>
      <c r="N55" s="5">
        <v>0</v>
      </c>
      <c r="P55" s="5">
        <v>273.88</v>
      </c>
      <c r="Q55" s="5">
        <v>200</v>
      </c>
      <c r="R55" s="6">
        <f>IF(Q55=0,"NA",(+P55-Q55)/Q55)</f>
        <v>0.36939999999999995</v>
      </c>
      <c r="S55" s="83" t="s">
        <v>193</v>
      </c>
      <c r="T55" s="83"/>
    </row>
    <row r="56" spans="1:20" s="4" customFormat="1" x14ac:dyDescent="0.25">
      <c r="A56" s="54">
        <v>56</v>
      </c>
      <c r="B56" s="25" t="s">
        <v>113</v>
      </c>
      <c r="C56" s="25"/>
      <c r="D56" s="25"/>
      <c r="E56" s="45"/>
      <c r="F56" s="45"/>
      <c r="G56" s="45"/>
      <c r="H56" s="25">
        <f>SUM(H54:H55)</f>
        <v>900</v>
      </c>
      <c r="I56" s="25">
        <v>600</v>
      </c>
      <c r="J56" s="26">
        <f t="shared" si="24"/>
        <v>0.5</v>
      </c>
      <c r="K56" s="25" t="e">
        <f>SUM(K54:K55)</f>
        <v>#REF!</v>
      </c>
      <c r="L56" s="26" t="e">
        <f>IF(K56=0,"NA",(+H56-K56)/K56)</f>
        <v>#REF!</v>
      </c>
      <c r="M56" s="45" t="e">
        <f>SUM(M54:M55)</f>
        <v>#REF!</v>
      </c>
      <c r="N56" s="45">
        <f>SUM(N54:N55)</f>
        <v>-366</v>
      </c>
      <c r="P56" s="45">
        <f>SUM(P54:P55)</f>
        <v>396.06</v>
      </c>
      <c r="Q56" s="45">
        <f>SUM(Q54:Q55)</f>
        <v>400</v>
      </c>
      <c r="R56" s="26">
        <f>IF(Q56=0,"NA",(+P56-Q56)/Q56)</f>
        <v>-9.8499999999999942E-3</v>
      </c>
      <c r="S56" s="79"/>
      <c r="T56" s="86"/>
    </row>
    <row r="57" spans="1:20" ht="5.25" customHeight="1" x14ac:dyDescent="0.25">
      <c r="A57" s="54">
        <v>57</v>
      </c>
      <c r="J57" s="7"/>
      <c r="M57" s="1"/>
      <c r="N57" s="1"/>
      <c r="S57" s="78"/>
      <c r="T57" s="83"/>
    </row>
    <row r="58" spans="1:20" x14ac:dyDescent="0.25">
      <c r="A58" s="54">
        <v>58</v>
      </c>
      <c r="B58" s="25" t="s">
        <v>32</v>
      </c>
      <c r="C58" s="28"/>
      <c r="D58" s="28"/>
      <c r="E58" s="28"/>
      <c r="F58" s="28"/>
      <c r="G58" s="28"/>
      <c r="H58" s="29">
        <f>+I58</f>
        <v>200</v>
      </c>
      <c r="I58" s="58">
        <v>200</v>
      </c>
      <c r="J58" s="26">
        <f>IF(I58=0,"NA",(+H58-I58)/I58)</f>
        <v>0</v>
      </c>
      <c r="K58" s="58" t="e">
        <f>+#REF!</f>
        <v>#REF!</v>
      </c>
      <c r="L58" s="26" t="e">
        <f>IF(K58=0,"NA",(+H58-K58)/K58)</f>
        <v>#REF!</v>
      </c>
      <c r="M58" s="58" t="e">
        <f>+#REF!</f>
        <v>#REF!</v>
      </c>
      <c r="N58" s="29">
        <v>164</v>
      </c>
      <c r="P58" s="29">
        <v>200</v>
      </c>
      <c r="Q58" s="29">
        <v>133.36000000000001</v>
      </c>
      <c r="R58" s="26">
        <f>IF(Q58=0,"NA",(+P58-Q58)/Q58)</f>
        <v>0.49970005998800227</v>
      </c>
      <c r="S58" s="83" t="s">
        <v>158</v>
      </c>
      <c r="T58" s="83" t="s">
        <v>158</v>
      </c>
    </row>
    <row r="59" spans="1:20" ht="6" customHeight="1" x14ac:dyDescent="0.25">
      <c r="A59" s="54">
        <v>59</v>
      </c>
      <c r="J59" s="7"/>
      <c r="M59" s="1"/>
      <c r="N59" s="1"/>
      <c r="S59" s="78"/>
      <c r="T59" s="83"/>
    </row>
    <row r="60" spans="1:20" x14ac:dyDescent="0.25">
      <c r="A60" s="54">
        <v>60</v>
      </c>
      <c r="B60" s="4" t="s">
        <v>33</v>
      </c>
      <c r="J60" s="7"/>
      <c r="M60" s="1"/>
      <c r="N60" s="1"/>
      <c r="S60" s="78"/>
      <c r="T60" s="83"/>
    </row>
    <row r="61" spans="1:20" x14ac:dyDescent="0.25">
      <c r="A61" s="54">
        <v>61</v>
      </c>
      <c r="C61" s="1" t="s">
        <v>34</v>
      </c>
      <c r="H61" s="5">
        <f>+I61</f>
        <v>200</v>
      </c>
      <c r="I61" s="46">
        <v>200</v>
      </c>
      <c r="J61" s="6">
        <f t="shared" ref="J61:J66" si="25">IF(I61=0,"NA",(+H61-I61)/I61)</f>
        <v>0</v>
      </c>
      <c r="K61" s="46" t="e">
        <f>+#REF!</f>
        <v>#REF!</v>
      </c>
      <c r="L61" s="6" t="e">
        <f t="shared" ref="L61:L66" si="26">IF(K61=0,"NA",(+H61-K61)/K61)</f>
        <v>#REF!</v>
      </c>
      <c r="M61" s="46" t="e">
        <f>+#REF!</f>
        <v>#REF!</v>
      </c>
      <c r="N61" s="5">
        <v>350</v>
      </c>
      <c r="P61" s="5">
        <v>0</v>
      </c>
      <c r="Q61" s="5">
        <v>0</v>
      </c>
      <c r="R61" s="6" t="str">
        <f t="shared" ref="R61:R66" si="27">IF(Q61=0,"NA",(+P61-Q61)/Q61)</f>
        <v>NA</v>
      </c>
      <c r="S61" s="78"/>
      <c r="T61" s="83"/>
    </row>
    <row r="62" spans="1:20" x14ac:dyDescent="0.25">
      <c r="A62" s="54">
        <v>62</v>
      </c>
      <c r="C62" s="1" t="s">
        <v>35</v>
      </c>
      <c r="H62" s="5">
        <f t="shared" ref="H62:H65" si="28">+I62</f>
        <v>800</v>
      </c>
      <c r="I62" s="46">
        <v>800</v>
      </c>
      <c r="J62" s="6">
        <f t="shared" si="25"/>
        <v>0</v>
      </c>
      <c r="K62" s="46" t="e">
        <f>+#REF!</f>
        <v>#REF!</v>
      </c>
      <c r="L62" s="6" t="e">
        <f t="shared" si="26"/>
        <v>#REF!</v>
      </c>
      <c r="M62" s="46" t="e">
        <f>+#REF!</f>
        <v>#REF!</v>
      </c>
      <c r="N62" s="5">
        <v>1094</v>
      </c>
      <c r="P62" s="5">
        <v>0</v>
      </c>
      <c r="Q62" s="5">
        <v>0</v>
      </c>
      <c r="R62" s="6" t="str">
        <f t="shared" si="27"/>
        <v>NA</v>
      </c>
      <c r="S62" s="78"/>
      <c r="T62" s="83"/>
    </row>
    <row r="63" spans="1:20" ht="15" customHeight="1" x14ac:dyDescent="0.25">
      <c r="A63" s="54">
        <v>63</v>
      </c>
      <c r="C63" s="1" t="s">
        <v>36</v>
      </c>
      <c r="H63" s="5">
        <f t="shared" si="28"/>
        <v>800</v>
      </c>
      <c r="I63" s="46">
        <v>800</v>
      </c>
      <c r="J63" s="6">
        <f t="shared" si="25"/>
        <v>0</v>
      </c>
      <c r="K63" s="46" t="e">
        <f>+#REF!</f>
        <v>#REF!</v>
      </c>
      <c r="L63" s="6" t="e">
        <f t="shared" si="26"/>
        <v>#REF!</v>
      </c>
      <c r="M63" s="46" t="e">
        <f>+#REF!</f>
        <v>#REF!</v>
      </c>
      <c r="N63" s="5">
        <v>1261</v>
      </c>
      <c r="P63" s="5">
        <v>900</v>
      </c>
      <c r="Q63" s="5">
        <v>800</v>
      </c>
      <c r="R63" s="6">
        <f t="shared" si="27"/>
        <v>0.125</v>
      </c>
      <c r="S63" s="85" t="s">
        <v>221</v>
      </c>
      <c r="T63" s="89" t="s">
        <v>207</v>
      </c>
    </row>
    <row r="64" spans="1:20" x14ac:dyDescent="0.25">
      <c r="A64" s="54">
        <v>64</v>
      </c>
      <c r="C64" s="1" t="s">
        <v>37</v>
      </c>
      <c r="H64" s="5">
        <f t="shared" si="28"/>
        <v>400</v>
      </c>
      <c r="I64" s="46">
        <v>400</v>
      </c>
      <c r="J64" s="6">
        <f t="shared" si="25"/>
        <v>0</v>
      </c>
      <c r="K64" s="46" t="e">
        <f>+#REF!</f>
        <v>#REF!</v>
      </c>
      <c r="L64" s="6" t="e">
        <f t="shared" si="26"/>
        <v>#REF!</v>
      </c>
      <c r="M64" s="46" t="e">
        <f>+#REF!</f>
        <v>#REF!</v>
      </c>
      <c r="N64" s="5">
        <v>422</v>
      </c>
      <c r="P64" s="5">
        <v>19.899999999999999</v>
      </c>
      <c r="Q64" s="5">
        <v>266.64999999999998</v>
      </c>
      <c r="R64" s="6">
        <f t="shared" si="27"/>
        <v>-0.92537033564597782</v>
      </c>
      <c r="S64" s="80"/>
      <c r="T64" s="87" t="s">
        <v>138</v>
      </c>
    </row>
    <row r="65" spans="1:20" x14ac:dyDescent="0.25">
      <c r="A65" s="54">
        <v>65</v>
      </c>
      <c r="C65" s="1" t="s">
        <v>38</v>
      </c>
      <c r="H65" s="5">
        <f t="shared" si="28"/>
        <v>800</v>
      </c>
      <c r="I65" s="46">
        <v>800</v>
      </c>
      <c r="J65" s="6">
        <f t="shared" si="25"/>
        <v>0</v>
      </c>
      <c r="K65" s="46" t="e">
        <f>+#REF!</f>
        <v>#REF!</v>
      </c>
      <c r="L65" s="6" t="e">
        <f t="shared" si="26"/>
        <v>#REF!</v>
      </c>
      <c r="M65" s="46" t="e">
        <f>+#REF!</f>
        <v>#REF!</v>
      </c>
      <c r="N65" s="5">
        <v>1084</v>
      </c>
      <c r="P65" s="63">
        <v>508</v>
      </c>
      <c r="Q65" s="63">
        <v>533.36</v>
      </c>
      <c r="R65" s="6">
        <f t="shared" si="27"/>
        <v>-4.7547622618869079E-2</v>
      </c>
      <c r="S65" s="78"/>
      <c r="T65" s="83"/>
    </row>
    <row r="66" spans="1:20" s="4" customFormat="1" x14ac:dyDescent="0.25">
      <c r="A66" s="54">
        <v>66</v>
      </c>
      <c r="B66" s="25" t="s">
        <v>39</v>
      </c>
      <c r="C66" s="25"/>
      <c r="D66" s="25"/>
      <c r="E66" s="45"/>
      <c r="F66" s="45"/>
      <c r="G66" s="45"/>
      <c r="H66" s="25">
        <f>SUM(H61:H65)</f>
        <v>3000</v>
      </c>
      <c r="I66" s="25">
        <v>3000</v>
      </c>
      <c r="J66" s="26">
        <f t="shared" si="25"/>
        <v>0</v>
      </c>
      <c r="K66" s="25" t="e">
        <f>SUM(K61:K65)</f>
        <v>#REF!</v>
      </c>
      <c r="L66" s="26" t="e">
        <f t="shared" si="26"/>
        <v>#REF!</v>
      </c>
      <c r="M66" s="45" t="e">
        <f>SUM(M61:M65)</f>
        <v>#REF!</v>
      </c>
      <c r="N66" s="45">
        <f>SUM(N61:N65)</f>
        <v>4211</v>
      </c>
      <c r="P66" s="45">
        <f>SUM(P61:P65)</f>
        <v>1427.9</v>
      </c>
      <c r="Q66" s="45">
        <f>SUM(Q61:Q65)</f>
        <v>1600.0100000000002</v>
      </c>
      <c r="R66" s="26">
        <f t="shared" si="27"/>
        <v>-0.10756807769951444</v>
      </c>
      <c r="S66" s="79"/>
      <c r="T66" s="86"/>
    </row>
    <row r="67" spans="1:20" ht="6" customHeight="1" x14ac:dyDescent="0.25">
      <c r="A67" s="54">
        <v>67</v>
      </c>
      <c r="J67" s="7"/>
      <c r="M67" s="1"/>
      <c r="N67" s="1"/>
      <c r="S67" s="78"/>
      <c r="T67" s="83"/>
    </row>
    <row r="68" spans="1:20" x14ac:dyDescent="0.25">
      <c r="A68" s="54">
        <v>68</v>
      </c>
      <c r="B68" s="4" t="s">
        <v>40</v>
      </c>
      <c r="J68" s="7"/>
      <c r="M68" s="1"/>
      <c r="N68" s="1"/>
      <c r="S68" s="78"/>
      <c r="T68" s="83"/>
    </row>
    <row r="69" spans="1:20" ht="30" x14ac:dyDescent="0.25">
      <c r="A69" s="54">
        <v>69</v>
      </c>
      <c r="C69" s="1" t="s">
        <v>41</v>
      </c>
      <c r="H69" s="5">
        <f>+I69</f>
        <v>5000</v>
      </c>
      <c r="I69" s="46">
        <v>5000</v>
      </c>
      <c r="J69" s="6">
        <f t="shared" ref="J69:J76" si="29">IF(I69=0,"NA",(+H69-I69)/I69)</f>
        <v>0</v>
      </c>
      <c r="K69" s="46" t="e">
        <f>+#REF!</f>
        <v>#REF!</v>
      </c>
      <c r="L69" s="6" t="e">
        <f t="shared" ref="L69:L76" si="30">IF(K69=0,"NA",(+H69-K69)/K69)</f>
        <v>#REF!</v>
      </c>
      <c r="M69" s="46" t="e">
        <f>+#REF!</f>
        <v>#REF!</v>
      </c>
      <c r="N69" s="5">
        <v>6352</v>
      </c>
      <c r="P69" s="5">
        <v>5277.7</v>
      </c>
      <c r="Q69" s="5">
        <v>3333.36</v>
      </c>
      <c r="R69" s="6">
        <f t="shared" ref="R69:R76" si="31">IF(Q69=0,"NA",(+P69-Q69)/Q69)</f>
        <v>0.58329733362133096</v>
      </c>
      <c r="S69" s="85" t="s">
        <v>202</v>
      </c>
      <c r="T69" s="87" t="s">
        <v>208</v>
      </c>
    </row>
    <row r="70" spans="1:20" x14ac:dyDescent="0.25">
      <c r="A70" s="54">
        <v>70</v>
      </c>
      <c r="C70" s="1" t="s">
        <v>42</v>
      </c>
      <c r="H70" s="5">
        <f t="shared" ref="H70:H74" si="32">+I70</f>
        <v>4500</v>
      </c>
      <c r="I70" s="46">
        <v>4500</v>
      </c>
      <c r="J70" s="6">
        <f t="shared" si="29"/>
        <v>0</v>
      </c>
      <c r="K70" s="46" t="e">
        <f>+#REF!</f>
        <v>#REF!</v>
      </c>
      <c r="L70" s="6" t="e">
        <f t="shared" si="30"/>
        <v>#REF!</v>
      </c>
      <c r="M70" s="46" t="e">
        <f>+#REF!</f>
        <v>#REF!</v>
      </c>
      <c r="N70" s="5">
        <v>5514</v>
      </c>
      <c r="P70" s="5">
        <v>3344.08</v>
      </c>
      <c r="Q70" s="5">
        <v>3000</v>
      </c>
      <c r="R70" s="6">
        <f t="shared" si="31"/>
        <v>0.11469333333333331</v>
      </c>
      <c r="S70" s="85" t="s">
        <v>222</v>
      </c>
      <c r="T70" s="87" t="s">
        <v>209</v>
      </c>
    </row>
    <row r="71" spans="1:20" x14ac:dyDescent="0.25">
      <c r="A71" s="54">
        <v>71</v>
      </c>
      <c r="C71" s="1" t="s">
        <v>122</v>
      </c>
      <c r="H71" s="5">
        <f t="shared" si="32"/>
        <v>500</v>
      </c>
      <c r="I71" s="46">
        <v>500</v>
      </c>
      <c r="J71" s="6">
        <f t="shared" si="29"/>
        <v>0</v>
      </c>
      <c r="K71" s="46" t="e">
        <f>+#REF!</f>
        <v>#REF!</v>
      </c>
      <c r="L71" s="6" t="e">
        <f t="shared" si="30"/>
        <v>#REF!</v>
      </c>
      <c r="M71" s="46" t="e">
        <f>+#REF!</f>
        <v>#REF!</v>
      </c>
      <c r="N71" s="5">
        <v>814</v>
      </c>
      <c r="P71" s="5">
        <v>421</v>
      </c>
      <c r="Q71" s="5">
        <v>333.36</v>
      </c>
      <c r="R71" s="6">
        <f t="shared" si="31"/>
        <v>0.26289896808255336</v>
      </c>
      <c r="S71" s="78"/>
      <c r="T71" s="87" t="s">
        <v>209</v>
      </c>
    </row>
    <row r="72" spans="1:20" ht="30" x14ac:dyDescent="0.25">
      <c r="A72" s="54">
        <v>73</v>
      </c>
      <c r="C72" s="1" t="s">
        <v>43</v>
      </c>
      <c r="H72" s="5">
        <f t="shared" si="32"/>
        <v>19000</v>
      </c>
      <c r="I72" s="46">
        <v>19000</v>
      </c>
      <c r="J72" s="6">
        <f t="shared" si="29"/>
        <v>0</v>
      </c>
      <c r="K72" s="46" t="e">
        <f>+#REF!</f>
        <v>#REF!</v>
      </c>
      <c r="L72" s="6" t="e">
        <f t="shared" si="30"/>
        <v>#REF!</v>
      </c>
      <c r="M72" s="46" t="e">
        <f>+#REF!</f>
        <v>#REF!</v>
      </c>
      <c r="N72" s="5">
        <v>21235</v>
      </c>
      <c r="P72" s="5">
        <v>12838.72</v>
      </c>
      <c r="Q72" s="5">
        <v>12666.64</v>
      </c>
      <c r="R72" s="6">
        <f t="shared" si="31"/>
        <v>1.358529175850896E-2</v>
      </c>
      <c r="S72" s="85" t="s">
        <v>203</v>
      </c>
      <c r="T72" s="87" t="s">
        <v>210</v>
      </c>
    </row>
    <row r="73" spans="1:20" x14ac:dyDescent="0.25">
      <c r="A73" s="54">
        <v>74</v>
      </c>
      <c r="C73" s="1" t="s">
        <v>44</v>
      </c>
      <c r="H73" s="5">
        <f t="shared" si="32"/>
        <v>700</v>
      </c>
      <c r="I73" s="46">
        <v>700</v>
      </c>
      <c r="J73" s="6">
        <f t="shared" si="29"/>
        <v>0</v>
      </c>
      <c r="K73" s="46" t="e">
        <f>+#REF!</f>
        <v>#REF!</v>
      </c>
      <c r="L73" s="6" t="e">
        <f t="shared" si="30"/>
        <v>#REF!</v>
      </c>
      <c r="M73" s="46" t="e">
        <f>+#REF!</f>
        <v>#REF!</v>
      </c>
      <c r="N73" s="5">
        <v>1645</v>
      </c>
      <c r="P73" s="5">
        <v>426.91</v>
      </c>
      <c r="Q73" s="5">
        <v>466.64</v>
      </c>
      <c r="R73" s="6">
        <f t="shared" si="31"/>
        <v>-8.5140579461683449E-2</v>
      </c>
      <c r="S73" s="78"/>
      <c r="T73" s="87"/>
    </row>
    <row r="74" spans="1:20" x14ac:dyDescent="0.25">
      <c r="A74" s="54">
        <v>75</v>
      </c>
      <c r="C74" s="1" t="s">
        <v>45</v>
      </c>
      <c r="H74" s="5">
        <f t="shared" si="32"/>
        <v>1600</v>
      </c>
      <c r="I74" s="46">
        <v>1600</v>
      </c>
      <c r="J74" s="6">
        <f t="shared" si="29"/>
        <v>0</v>
      </c>
      <c r="K74" s="46" t="e">
        <f>+#REF!</f>
        <v>#REF!</v>
      </c>
      <c r="L74" s="6" t="e">
        <f t="shared" si="30"/>
        <v>#REF!</v>
      </c>
      <c r="M74" s="46" t="e">
        <f>+#REF!</f>
        <v>#REF!</v>
      </c>
      <c r="N74" s="5">
        <v>0</v>
      </c>
      <c r="P74" s="5">
        <v>969.8</v>
      </c>
      <c r="Q74" s="5">
        <v>1066.6400000000001</v>
      </c>
      <c r="R74" s="6">
        <f t="shared" si="31"/>
        <v>-9.0789769744243728E-2</v>
      </c>
      <c r="S74" s="85" t="s">
        <v>223</v>
      </c>
      <c r="T74" s="87"/>
    </row>
    <row r="75" spans="1:20" s="4" customFormat="1" x14ac:dyDescent="0.25">
      <c r="A75" s="54">
        <v>76</v>
      </c>
      <c r="B75" s="25" t="s">
        <v>47</v>
      </c>
      <c r="C75" s="25"/>
      <c r="D75" s="25"/>
      <c r="E75" s="45"/>
      <c r="F75" s="45"/>
      <c r="G75" s="45"/>
      <c r="H75" s="25">
        <f>SUM(H69:H74)</f>
        <v>31300</v>
      </c>
      <c r="I75" s="25">
        <v>31300</v>
      </c>
      <c r="J75" s="26">
        <f t="shared" si="29"/>
        <v>0</v>
      </c>
      <c r="K75" s="25" t="e">
        <f>SUM(K69:K74)</f>
        <v>#REF!</v>
      </c>
      <c r="L75" s="26" t="e">
        <f t="shared" si="30"/>
        <v>#REF!</v>
      </c>
      <c r="M75" s="45" t="e">
        <f>SUM(M69:M74)</f>
        <v>#REF!</v>
      </c>
      <c r="N75" s="45">
        <f>SUM(N69:N74)</f>
        <v>35560</v>
      </c>
      <c r="P75" s="45">
        <f>SUM(P69:P74)</f>
        <v>23278.21</v>
      </c>
      <c r="Q75" s="45">
        <f>SUM(Q69:Q74)</f>
        <v>20866.64</v>
      </c>
      <c r="R75" s="26">
        <f t="shared" si="31"/>
        <v>0.11557059497839613</v>
      </c>
      <c r="S75" s="79"/>
      <c r="T75" s="86"/>
    </row>
    <row r="76" spans="1:20" x14ac:dyDescent="0.25">
      <c r="A76" s="54">
        <v>77</v>
      </c>
      <c r="B76" s="25" t="s">
        <v>112</v>
      </c>
      <c r="C76" s="30"/>
      <c r="D76" s="30"/>
      <c r="E76" s="30"/>
      <c r="F76" s="30"/>
      <c r="G76" s="30"/>
      <c r="H76" s="25">
        <f>+H40+H42+H49+H51+H58+H66+H75+H56</f>
        <v>59690</v>
      </c>
      <c r="I76" s="25">
        <v>57390</v>
      </c>
      <c r="J76" s="26">
        <f t="shared" si="29"/>
        <v>4.007666840913051E-2</v>
      </c>
      <c r="K76" s="25" t="e">
        <f>+K40+K42+K49+K51+K58+K66+K75+K56</f>
        <v>#REF!</v>
      </c>
      <c r="L76" s="26" t="e">
        <f t="shared" si="30"/>
        <v>#REF!</v>
      </c>
      <c r="M76" s="45" t="e">
        <f>+M40+M42+M49+M51+M58+M66+M75+M56</f>
        <v>#REF!</v>
      </c>
      <c r="N76" s="45">
        <f>+N40+N42+N49+N51+N58+N66+N75+N56</f>
        <v>62308</v>
      </c>
      <c r="P76" s="45">
        <f>+P40+P42+P49+P51+P58+P66+P75+P56</f>
        <v>36232.479999999996</v>
      </c>
      <c r="Q76" s="45">
        <f>+Q40+Q42+Q49+Q51+Q58+Q66+Q75+Q56</f>
        <v>37795.01</v>
      </c>
      <c r="R76" s="26">
        <f t="shared" si="31"/>
        <v>-4.1342230098629584E-2</v>
      </c>
      <c r="S76" s="78"/>
      <c r="T76" s="83"/>
    </row>
    <row r="77" spans="1:20" ht="8.25" customHeight="1" x14ac:dyDescent="0.25">
      <c r="A77" s="54">
        <v>78</v>
      </c>
      <c r="J77" s="7"/>
      <c r="M77" s="1"/>
      <c r="N77" s="1"/>
      <c r="S77" s="78"/>
      <c r="T77" s="83"/>
    </row>
    <row r="78" spans="1:20" ht="18.75" x14ac:dyDescent="0.25">
      <c r="A78" s="54">
        <v>79</v>
      </c>
      <c r="B78" s="10" t="s">
        <v>46</v>
      </c>
      <c r="G78" s="109" t="s">
        <v>130</v>
      </c>
      <c r="J78" s="7"/>
      <c r="M78" s="1"/>
      <c r="N78" s="1"/>
      <c r="S78" s="78"/>
      <c r="T78" s="83"/>
    </row>
    <row r="79" spans="1:20" x14ac:dyDescent="0.25">
      <c r="A79" s="54">
        <v>80</v>
      </c>
      <c r="B79" s="4" t="s">
        <v>176</v>
      </c>
      <c r="G79" s="109"/>
      <c r="H79" s="43"/>
      <c r="J79" s="7"/>
      <c r="M79" s="1"/>
      <c r="N79" s="1"/>
      <c r="P79" s="43"/>
      <c r="Q79" s="43"/>
      <c r="S79" s="83" t="s">
        <v>179</v>
      </c>
      <c r="T79" s="83" t="s">
        <v>179</v>
      </c>
    </row>
    <row r="80" spans="1:20" x14ac:dyDescent="0.25">
      <c r="A80" s="54">
        <v>81</v>
      </c>
      <c r="C80" s="1" t="s">
        <v>48</v>
      </c>
      <c r="G80" s="77">
        <f>ROUND(+$I80*(1+$E$109),0)</f>
        <v>74971</v>
      </c>
      <c r="H80" s="84">
        <f>42525+30000</f>
        <v>72525</v>
      </c>
      <c r="I80" s="46">
        <v>72787</v>
      </c>
      <c r="J80" s="6">
        <f t="shared" ref="J80:J87" si="33">IF(I80=0,"NA",(+H80-I80)/I80)</f>
        <v>-3.5995438745929907E-3</v>
      </c>
      <c r="K80" s="46" t="e">
        <f>+#REF!</f>
        <v>#REF!</v>
      </c>
      <c r="L80" s="6" t="e">
        <f t="shared" ref="L80:L87" si="34">IF(K80=0,"NA",(+H80-K80)/K80)</f>
        <v>#REF!</v>
      </c>
      <c r="M80" s="46" t="e">
        <f>+#REF!</f>
        <v>#REF!</v>
      </c>
      <c r="N80" s="5">
        <v>87117</v>
      </c>
      <c r="P80" s="5">
        <f>49396.7+6875</f>
        <v>56271.7</v>
      </c>
      <c r="Q80" s="5">
        <v>48524.639999999999</v>
      </c>
      <c r="R80" s="6">
        <f t="shared" ref="R80:R87" si="35">IF(Q80=0,"NA",(+P80-Q80)/Q80)</f>
        <v>0.15965208603299269</v>
      </c>
      <c r="S80" s="87" t="s">
        <v>242</v>
      </c>
      <c r="T80" s="83" t="s">
        <v>141</v>
      </c>
    </row>
    <row r="81" spans="1:20" x14ac:dyDescent="0.25">
      <c r="A81" s="54">
        <v>82</v>
      </c>
      <c r="C81" s="1" t="s">
        <v>49</v>
      </c>
      <c r="G81" s="77"/>
      <c r="H81" s="84">
        <v>2000</v>
      </c>
      <c r="I81" s="46">
        <v>2000</v>
      </c>
      <c r="J81" s="6">
        <f t="shared" si="33"/>
        <v>0</v>
      </c>
      <c r="K81" s="46" t="e">
        <f>+#REF!</f>
        <v>#REF!</v>
      </c>
      <c r="L81" s="6" t="e">
        <f t="shared" si="34"/>
        <v>#REF!</v>
      </c>
      <c r="M81" s="46" t="e">
        <f>+#REF!</f>
        <v>#REF!</v>
      </c>
      <c r="N81" s="5">
        <v>5500</v>
      </c>
      <c r="P81" s="5">
        <v>519.27</v>
      </c>
      <c r="Q81" s="5">
        <v>1333.36</v>
      </c>
      <c r="R81" s="6">
        <f t="shared" si="35"/>
        <v>-0.61055528889422206</v>
      </c>
      <c r="S81" s="87" t="s">
        <v>243</v>
      </c>
      <c r="T81" s="83"/>
    </row>
    <row r="82" spans="1:20" x14ac:dyDescent="0.25">
      <c r="C82" s="1" t="s">
        <v>189</v>
      </c>
      <c r="G82" s="77"/>
      <c r="H82" s="84">
        <f>5548.16+5500</f>
        <v>11048.16</v>
      </c>
      <c r="I82" s="46">
        <v>0</v>
      </c>
      <c r="J82" s="6" t="str">
        <f t="shared" ref="J82" si="36">IF(I82=0,"NA",(+H82-I82)/I82)</f>
        <v>NA</v>
      </c>
      <c r="K82" s="46" t="e">
        <f>+#REF!</f>
        <v>#REF!</v>
      </c>
      <c r="L82" s="6" t="e">
        <f t="shared" ref="L82" si="37">IF(K82=0,"NA",(+H82-K82)/K82)</f>
        <v>#REF!</v>
      </c>
      <c r="M82" s="46" t="e">
        <f>+#REF!</f>
        <v>#REF!</v>
      </c>
      <c r="N82" s="5">
        <v>33221</v>
      </c>
      <c r="P82" s="5">
        <v>2531.87</v>
      </c>
      <c r="Q82" s="5">
        <v>0</v>
      </c>
      <c r="R82" s="6" t="str">
        <f t="shared" ref="R82" si="38">IF(Q82=0,"NA",(+P82-Q82)/Q82)</f>
        <v>NA</v>
      </c>
      <c r="S82" s="87" t="s">
        <v>242</v>
      </c>
    </row>
    <row r="83" spans="1:20" x14ac:dyDescent="0.25">
      <c r="A83" s="54">
        <v>83</v>
      </c>
      <c r="C83" s="1" t="s">
        <v>50</v>
      </c>
      <c r="G83" s="77"/>
      <c r="H83" s="84">
        <f>ROUND(17880+(H80*(0.1+0.025+0.008+0.007)),0)</f>
        <v>28034</v>
      </c>
      <c r="I83" s="46">
        <v>28070</v>
      </c>
      <c r="J83" s="6">
        <f t="shared" si="33"/>
        <v>-1.2825080156750981E-3</v>
      </c>
      <c r="K83" s="46" t="e">
        <f>+#REF!</f>
        <v>#REF!</v>
      </c>
      <c r="L83" s="6" t="e">
        <f t="shared" si="34"/>
        <v>#REF!</v>
      </c>
      <c r="M83" s="46" t="e">
        <f>+#REF!</f>
        <v>#REF!</v>
      </c>
      <c r="N83" s="5">
        <v>33221</v>
      </c>
      <c r="P83" s="5">
        <v>11361.12</v>
      </c>
      <c r="Q83" s="5">
        <v>18713.36</v>
      </c>
      <c r="R83" s="6">
        <f t="shared" si="35"/>
        <v>-0.39288722068083975</v>
      </c>
      <c r="S83" s="85" t="s">
        <v>204</v>
      </c>
      <c r="T83" s="83" t="s">
        <v>118</v>
      </c>
    </row>
    <row r="84" spans="1:20" x14ac:dyDescent="0.25">
      <c r="A84" s="54">
        <v>84</v>
      </c>
      <c r="C84" s="1" t="s">
        <v>51</v>
      </c>
      <c r="G84" s="77"/>
      <c r="H84" s="84">
        <v>3000</v>
      </c>
      <c r="I84" s="46">
        <v>3000</v>
      </c>
      <c r="J84" s="6">
        <f t="shared" si="33"/>
        <v>0</v>
      </c>
      <c r="K84" s="46" t="e">
        <f>+#REF!</f>
        <v>#REF!</v>
      </c>
      <c r="L84" s="6" t="e">
        <f t="shared" si="34"/>
        <v>#REF!</v>
      </c>
      <c r="M84" s="46" t="e">
        <f>+#REF!</f>
        <v>#REF!</v>
      </c>
      <c r="N84" s="5">
        <v>5289</v>
      </c>
      <c r="P84" s="5">
        <v>0</v>
      </c>
      <c r="Q84" s="5">
        <v>2000</v>
      </c>
      <c r="R84" s="6">
        <f t="shared" si="35"/>
        <v>-1</v>
      </c>
      <c r="S84" s="85" t="s">
        <v>205</v>
      </c>
      <c r="T84" s="83" t="s">
        <v>142</v>
      </c>
    </row>
    <row r="85" spans="1:20" x14ac:dyDescent="0.25">
      <c r="C85" s="1" t="s">
        <v>244</v>
      </c>
      <c r="G85" s="77"/>
      <c r="H85" s="84">
        <v>1200</v>
      </c>
      <c r="I85" s="46">
        <v>3000</v>
      </c>
      <c r="J85" s="6">
        <f t="shared" ref="J85" si="39">IF(I85=0,"NA",(+H85-I85)/I85)</f>
        <v>-0.6</v>
      </c>
      <c r="K85" s="46" t="e">
        <f>+#REF!</f>
        <v>#REF!</v>
      </c>
      <c r="L85" s="6" t="e">
        <f t="shared" ref="L85" si="40">IF(K85=0,"NA",(+H85-K85)/K85)</f>
        <v>#REF!</v>
      </c>
      <c r="M85" s="46" t="e">
        <f>+#REF!</f>
        <v>#REF!</v>
      </c>
      <c r="N85" s="5">
        <v>5289</v>
      </c>
      <c r="P85" s="5">
        <v>0</v>
      </c>
      <c r="Q85" s="5">
        <v>2000</v>
      </c>
      <c r="R85" s="6">
        <f t="shared" ref="R85" si="41">IF(Q85=0,"NA",(+P85-Q85)/Q85)</f>
        <v>-1</v>
      </c>
      <c r="S85" s="87" t="s">
        <v>242</v>
      </c>
      <c r="T85" s="83"/>
    </row>
    <row r="86" spans="1:20" x14ac:dyDescent="0.25">
      <c r="A86" s="54">
        <v>85</v>
      </c>
      <c r="C86" s="1" t="s">
        <v>241</v>
      </c>
      <c r="G86" s="77"/>
      <c r="H86" s="84">
        <f>1200+400</f>
        <v>1600</v>
      </c>
      <c r="I86" s="46">
        <v>1500</v>
      </c>
      <c r="J86" s="6">
        <f t="shared" si="33"/>
        <v>6.6666666666666666E-2</v>
      </c>
      <c r="K86" s="46" t="e">
        <f>+#REF!</f>
        <v>#REF!</v>
      </c>
      <c r="L86" s="6" t="e">
        <f t="shared" si="34"/>
        <v>#REF!</v>
      </c>
      <c r="M86" s="46" t="e">
        <f>+#REF!</f>
        <v>#REF!</v>
      </c>
      <c r="N86" s="5">
        <v>1180</v>
      </c>
      <c r="P86" s="5">
        <v>650</v>
      </c>
      <c r="Q86" s="5">
        <v>1000</v>
      </c>
      <c r="R86" s="6">
        <f t="shared" si="35"/>
        <v>-0.35</v>
      </c>
      <c r="S86" s="87" t="s">
        <v>242</v>
      </c>
      <c r="T86" s="83"/>
    </row>
    <row r="87" spans="1:20" s="4" customFormat="1" x14ac:dyDescent="0.25">
      <c r="A87" s="54">
        <v>86</v>
      </c>
      <c r="B87" s="31" t="s">
        <v>177</v>
      </c>
      <c r="C87" s="31"/>
      <c r="D87" s="31"/>
      <c r="E87" s="31"/>
      <c r="F87" s="31"/>
      <c r="G87" s="31"/>
      <c r="H87" s="31">
        <f>SUM(H80:H86)</f>
        <v>119407.16</v>
      </c>
      <c r="I87" s="31">
        <v>107357</v>
      </c>
      <c r="J87" s="32">
        <f t="shared" si="33"/>
        <v>0.11224382201440058</v>
      </c>
      <c r="K87" s="31" t="e">
        <f>SUM(K80:K86)</f>
        <v>#REF!</v>
      </c>
      <c r="L87" s="32" t="e">
        <f t="shared" si="34"/>
        <v>#REF!</v>
      </c>
      <c r="M87" s="31" t="e">
        <f>SUM(M80:M86)</f>
        <v>#REF!</v>
      </c>
      <c r="N87" s="31">
        <f>SUM(N80:N86)</f>
        <v>170817</v>
      </c>
      <c r="P87" s="31">
        <f>SUM(P80:P86)</f>
        <v>71333.959999999992</v>
      </c>
      <c r="Q87" s="31">
        <f>SUM(Q80:Q86)</f>
        <v>73571.360000000001</v>
      </c>
      <c r="R87" s="32">
        <f t="shared" si="35"/>
        <v>-3.0411290480426196E-2</v>
      </c>
      <c r="S87" s="79"/>
      <c r="T87" s="83"/>
    </row>
    <row r="88" spans="1:20" ht="6.75" customHeight="1" x14ac:dyDescent="0.25">
      <c r="A88" s="54">
        <v>87</v>
      </c>
      <c r="J88" s="7"/>
      <c r="M88" s="1"/>
      <c r="N88" s="1"/>
      <c r="S88" s="78"/>
      <c r="T88" s="86"/>
    </row>
    <row r="89" spans="1:20" x14ac:dyDescent="0.25">
      <c r="A89" s="54">
        <v>88</v>
      </c>
      <c r="B89" s="4" t="s">
        <v>53</v>
      </c>
      <c r="J89" s="7"/>
      <c r="M89" s="1"/>
      <c r="N89" s="1"/>
      <c r="S89" s="78"/>
      <c r="T89" s="83"/>
    </row>
    <row r="90" spans="1:20" x14ac:dyDescent="0.25">
      <c r="A90" s="54">
        <v>89</v>
      </c>
      <c r="C90" s="1" t="s">
        <v>54</v>
      </c>
      <c r="F90" s="66"/>
      <c r="G90" s="77">
        <f>ROUND(+$I90*(1+$E$109),0)</f>
        <v>12089</v>
      </c>
      <c r="H90" s="5">
        <v>0</v>
      </c>
      <c r="I90" s="46">
        <v>11737</v>
      </c>
      <c r="J90" s="6">
        <f t="shared" ref="J90:J92" si="42">IF(I90=0,"NA",(+H90-I90)/I90)</f>
        <v>-1</v>
      </c>
      <c r="K90" s="46" t="e">
        <f>+#REF!</f>
        <v>#REF!</v>
      </c>
      <c r="L90" s="6" t="e">
        <f>IF(K90=0,"NA",(+H90-K90)/K90)</f>
        <v>#REF!</v>
      </c>
      <c r="M90" s="46" t="e">
        <f>+#REF!</f>
        <v>#REF!</v>
      </c>
      <c r="N90" s="5">
        <v>10978</v>
      </c>
      <c r="P90" s="5">
        <v>9847.24</v>
      </c>
      <c r="Q90" s="5">
        <v>7824.64</v>
      </c>
      <c r="R90" s="6">
        <f>IF(Q90=0,"NA",(+P90-Q90)/Q90)</f>
        <v>0.25849112547030911</v>
      </c>
      <c r="S90" s="78"/>
      <c r="T90" s="83" t="s">
        <v>211</v>
      </c>
    </row>
    <row r="91" spans="1:20" x14ac:dyDescent="0.25">
      <c r="A91" s="54">
        <v>90</v>
      </c>
      <c r="C91" s="1" t="s">
        <v>55</v>
      </c>
      <c r="H91" s="5">
        <v>0</v>
      </c>
      <c r="I91" s="46">
        <v>1500</v>
      </c>
      <c r="J91" s="6">
        <f t="shared" si="42"/>
        <v>-1</v>
      </c>
      <c r="K91" s="46" t="e">
        <f>+#REF!</f>
        <v>#REF!</v>
      </c>
      <c r="L91" s="6" t="e">
        <f>IF(K91=0,"NA",(+H91-K91)/K91)</f>
        <v>#REF!</v>
      </c>
      <c r="M91" s="46" t="e">
        <f>+#REF!</f>
        <v>#REF!</v>
      </c>
      <c r="N91" s="5">
        <v>5000</v>
      </c>
      <c r="P91" s="5">
        <v>1216.94</v>
      </c>
      <c r="Q91" s="5">
        <v>1000</v>
      </c>
      <c r="R91" s="6">
        <f>IF(Q91=0,"NA",(+P91-Q91)/Q91)</f>
        <v>0.21694000000000005</v>
      </c>
      <c r="S91" s="78"/>
      <c r="T91" s="83" t="s">
        <v>140</v>
      </c>
    </row>
    <row r="92" spans="1:20" s="4" customFormat="1" x14ac:dyDescent="0.25">
      <c r="A92" s="54">
        <v>91</v>
      </c>
      <c r="B92" s="31" t="s">
        <v>56</v>
      </c>
      <c r="C92" s="31"/>
      <c r="D92" s="31"/>
      <c r="E92" s="31"/>
      <c r="F92" s="31"/>
      <c r="G92" s="31"/>
      <c r="H92" s="31">
        <f>SUM(H90:H91)</f>
        <v>0</v>
      </c>
      <c r="I92" s="31">
        <v>13237</v>
      </c>
      <c r="J92" s="32">
        <f t="shared" si="42"/>
        <v>-1</v>
      </c>
      <c r="K92" s="31" t="e">
        <f>SUM(K90:K91)</f>
        <v>#REF!</v>
      </c>
      <c r="L92" s="32" t="e">
        <f>IF(K92=0,"NA",(+H92-K92)/K92)</f>
        <v>#REF!</v>
      </c>
      <c r="M92" s="31" t="e">
        <f>SUM(M90:M91)</f>
        <v>#REF!</v>
      </c>
      <c r="N92" s="31">
        <f>SUM(N90:N91)</f>
        <v>15978</v>
      </c>
      <c r="P92" s="31">
        <f>SUM(P90:P91)</f>
        <v>11064.18</v>
      </c>
      <c r="Q92" s="31">
        <f>SUM(Q90:Q91)</f>
        <v>8824.64</v>
      </c>
      <c r="R92" s="32">
        <f>IF(Q92=0,"NA",(+P92-Q92)/Q92)</f>
        <v>0.25378259056460106</v>
      </c>
      <c r="S92" s="79"/>
      <c r="T92" s="83"/>
    </row>
    <row r="93" spans="1:20" ht="4.5" customHeight="1" x14ac:dyDescent="0.25">
      <c r="A93" s="54">
        <v>92</v>
      </c>
      <c r="J93" s="7"/>
      <c r="M93" s="1"/>
      <c r="N93" s="1"/>
      <c r="S93" s="78"/>
      <c r="T93" s="86"/>
    </row>
    <row r="94" spans="1:20" x14ac:dyDescent="0.25">
      <c r="A94" s="54">
        <v>93</v>
      </c>
      <c r="B94" s="4" t="s">
        <v>57</v>
      </c>
      <c r="J94" s="7"/>
      <c r="M94" s="1"/>
      <c r="N94" s="1"/>
      <c r="S94" s="78"/>
      <c r="T94" s="83"/>
    </row>
    <row r="95" spans="1:20" x14ac:dyDescent="0.25">
      <c r="A95" s="54">
        <v>94</v>
      </c>
      <c r="C95" s="1" t="s">
        <v>54</v>
      </c>
      <c r="F95" s="51"/>
      <c r="G95" s="77">
        <f>ROUND(+$I95*(1+$E$109),0)</f>
        <v>14631</v>
      </c>
      <c r="H95" s="41">
        <f>+G95</f>
        <v>14631</v>
      </c>
      <c r="I95" s="46">
        <v>14205</v>
      </c>
      <c r="J95" s="6">
        <f t="shared" ref="J95:J97" si="43">IF(I95=0,"NA",(+H95-I95)/I95)</f>
        <v>2.9989440337909186E-2</v>
      </c>
      <c r="K95" s="46" t="e">
        <f>+#REF!</f>
        <v>#REF!</v>
      </c>
      <c r="L95" s="6" t="e">
        <f>IF(K95=0,"NA",(+H95-K95)/K95)</f>
        <v>#REF!</v>
      </c>
      <c r="M95" s="46" t="e">
        <f>+#REF!</f>
        <v>#REF!</v>
      </c>
      <c r="N95" s="5">
        <v>13133</v>
      </c>
      <c r="P95" s="5">
        <v>9470.08</v>
      </c>
      <c r="Q95" s="5">
        <v>9470</v>
      </c>
      <c r="R95" s="6">
        <f>IF(Q95=0,"NA",(+P95-Q95)/Q95)</f>
        <v>8.4477296726427918E-6</v>
      </c>
      <c r="S95" s="83" t="s">
        <v>194</v>
      </c>
      <c r="T95" s="83" t="s">
        <v>211</v>
      </c>
    </row>
    <row r="96" spans="1:20" ht="30" x14ac:dyDescent="0.25">
      <c r="A96" s="54">
        <v>95</v>
      </c>
      <c r="C96" s="1" t="s">
        <v>58</v>
      </c>
      <c r="H96" s="5">
        <v>750</v>
      </c>
      <c r="I96" s="46">
        <v>750</v>
      </c>
      <c r="J96" s="6">
        <f t="shared" si="43"/>
        <v>0</v>
      </c>
      <c r="K96" s="46" t="e">
        <f>+#REF!</f>
        <v>#REF!</v>
      </c>
      <c r="L96" s="6" t="e">
        <f>IF(K96=0,"NA",(+H96-K96)/K96)</f>
        <v>#REF!</v>
      </c>
      <c r="M96" s="46" t="e">
        <f>+#REF!</f>
        <v>#REF!</v>
      </c>
      <c r="N96" s="5">
        <v>739</v>
      </c>
      <c r="P96" s="5">
        <v>0</v>
      </c>
      <c r="Q96" s="5">
        <v>500</v>
      </c>
      <c r="R96" s="6">
        <f>IF(Q96=0,"NA",(+P96-Q96)/Q96)</f>
        <v>-1</v>
      </c>
      <c r="S96" s="85" t="s">
        <v>247</v>
      </c>
      <c r="T96" s="83" t="s">
        <v>209</v>
      </c>
    </row>
    <row r="97" spans="1:20" s="4" customFormat="1" x14ac:dyDescent="0.25">
      <c r="A97" s="54">
        <v>96</v>
      </c>
      <c r="B97" s="31" t="s">
        <v>59</v>
      </c>
      <c r="C97" s="31"/>
      <c r="D97" s="31"/>
      <c r="E97" s="31"/>
      <c r="F97" s="31"/>
      <c r="G97" s="31"/>
      <c r="H97" s="31">
        <f>SUM(H95:H96)</f>
        <v>15381</v>
      </c>
      <c r="I97" s="31">
        <v>14955</v>
      </c>
      <c r="J97" s="32">
        <f t="shared" si="43"/>
        <v>2.848545636910732E-2</v>
      </c>
      <c r="K97" s="31" t="e">
        <f>SUM(K95:K96)</f>
        <v>#REF!</v>
      </c>
      <c r="L97" s="32" t="e">
        <f>IF(K97=0,"NA",(+H97-K97)/K97)</f>
        <v>#REF!</v>
      </c>
      <c r="M97" s="31" t="e">
        <f>SUM(M95:M96)</f>
        <v>#REF!</v>
      </c>
      <c r="N97" s="31">
        <f>SUM(N95:N96)</f>
        <v>13872</v>
      </c>
      <c r="P97" s="31">
        <f>SUM(P95:P96)</f>
        <v>9470.08</v>
      </c>
      <c r="Q97" s="31">
        <f>SUM(Q95:Q96)</f>
        <v>9970</v>
      </c>
      <c r="R97" s="32">
        <f>IF(Q97=0,"NA",(+P97-Q97)/Q97)</f>
        <v>-5.0142427281845543E-2</v>
      </c>
      <c r="S97" s="79"/>
      <c r="T97" s="83"/>
    </row>
    <row r="98" spans="1:20" ht="6" customHeight="1" x14ac:dyDescent="0.25">
      <c r="A98" s="54">
        <v>97</v>
      </c>
      <c r="J98" s="7"/>
      <c r="M98" s="1"/>
      <c r="N98" s="1"/>
      <c r="S98" s="78"/>
      <c r="T98" s="86"/>
    </row>
    <row r="99" spans="1:20" x14ac:dyDescent="0.25">
      <c r="A99" s="54">
        <v>98</v>
      </c>
      <c r="B99" s="4" t="s">
        <v>60</v>
      </c>
      <c r="J99" s="7"/>
      <c r="M99" s="1"/>
      <c r="N99" s="1"/>
      <c r="S99" s="78"/>
      <c r="T99" s="83"/>
    </row>
    <row r="100" spans="1:20" x14ac:dyDescent="0.25">
      <c r="A100" s="54">
        <v>99</v>
      </c>
      <c r="C100" s="1" t="s">
        <v>54</v>
      </c>
      <c r="G100" s="77">
        <f>ROUND(+$I100*(1+$E$109),0)</f>
        <v>38239</v>
      </c>
      <c r="H100" s="71">
        <f>+G100</f>
        <v>38239</v>
      </c>
      <c r="I100" s="46">
        <v>37125</v>
      </c>
      <c r="J100" s="6">
        <f t="shared" ref="J100:J106" si="44">IF(I100=0,"NA",(+H100-I100)/I100)</f>
        <v>3.0006734006734006E-2</v>
      </c>
      <c r="K100" s="46" t="e">
        <f>+#REF!</f>
        <v>#REF!</v>
      </c>
      <c r="L100" s="6" t="e">
        <f t="shared" ref="L100:L106" si="45">IF(K100=0,"NA",(+H100-K100)/K100)</f>
        <v>#REF!</v>
      </c>
      <c r="M100" s="46" t="e">
        <f>+#REF!</f>
        <v>#REF!</v>
      </c>
      <c r="N100" s="5">
        <v>32277</v>
      </c>
      <c r="P100" s="5">
        <v>24750.080000000002</v>
      </c>
      <c r="Q100" s="5">
        <v>24750</v>
      </c>
      <c r="R100" s="6">
        <f t="shared" ref="R100:R106" si="46">IF(Q100=0,"NA",(+P100-Q100)/Q100)</f>
        <v>3.2323232323937873E-6</v>
      </c>
      <c r="S100" s="83" t="s">
        <v>194</v>
      </c>
      <c r="T100" s="83" t="s">
        <v>211</v>
      </c>
    </row>
    <row r="101" spans="1:20" x14ac:dyDescent="0.25">
      <c r="A101" s="54">
        <v>100</v>
      </c>
      <c r="C101" s="1" t="s">
        <v>50</v>
      </c>
      <c r="H101" s="5">
        <v>5569</v>
      </c>
      <c r="I101" s="46">
        <v>5569</v>
      </c>
      <c r="J101" s="6">
        <f t="shared" si="44"/>
        <v>0</v>
      </c>
      <c r="K101" s="46" t="e">
        <f>+#REF!</f>
        <v>#REF!</v>
      </c>
      <c r="L101" s="6" t="e">
        <f t="shared" si="45"/>
        <v>#REF!</v>
      </c>
      <c r="M101" s="46" t="e">
        <f>+#REF!</f>
        <v>#REF!</v>
      </c>
      <c r="N101" s="5">
        <v>4642</v>
      </c>
      <c r="P101" s="5">
        <v>3712.48</v>
      </c>
      <c r="Q101" s="5">
        <v>3712.64</v>
      </c>
      <c r="R101" s="6">
        <f t="shared" si="46"/>
        <v>-4.3096017927904267E-5</v>
      </c>
      <c r="S101" s="85" t="s">
        <v>204</v>
      </c>
      <c r="T101" s="83" t="s">
        <v>118</v>
      </c>
    </row>
    <row r="102" spans="1:20" x14ac:dyDescent="0.25">
      <c r="A102" s="54">
        <v>101</v>
      </c>
      <c r="C102" s="1" t="s">
        <v>52</v>
      </c>
      <c r="H102" s="5">
        <v>750</v>
      </c>
      <c r="I102" s="46">
        <v>750</v>
      </c>
      <c r="J102" s="6">
        <f t="shared" si="44"/>
        <v>0</v>
      </c>
      <c r="K102" s="46" t="e">
        <f>+#REF!</f>
        <v>#REF!</v>
      </c>
      <c r="L102" s="6" t="e">
        <f t="shared" si="45"/>
        <v>#REF!</v>
      </c>
      <c r="M102" s="46" t="e">
        <f>+#REF!</f>
        <v>#REF!</v>
      </c>
      <c r="N102" s="5">
        <v>106</v>
      </c>
      <c r="P102" s="5">
        <v>0</v>
      </c>
      <c r="Q102" s="5">
        <v>500</v>
      </c>
      <c r="R102" s="6">
        <f t="shared" si="46"/>
        <v>-1</v>
      </c>
      <c r="S102" s="83" t="s">
        <v>185</v>
      </c>
      <c r="T102" s="83" t="s">
        <v>209</v>
      </c>
    </row>
    <row r="103" spans="1:20" x14ac:dyDescent="0.25">
      <c r="A103" s="54">
        <v>102</v>
      </c>
      <c r="C103" s="1" t="s">
        <v>51</v>
      </c>
      <c r="H103" s="5">
        <v>3298</v>
      </c>
      <c r="I103" s="46">
        <v>3298</v>
      </c>
      <c r="J103" s="6">
        <f t="shared" si="44"/>
        <v>0</v>
      </c>
      <c r="K103" s="46" t="e">
        <f>+#REF!</f>
        <v>#REF!</v>
      </c>
      <c r="L103" s="6" t="e">
        <f t="shared" si="45"/>
        <v>#REF!</v>
      </c>
      <c r="M103" s="46" t="e">
        <f>+#REF!</f>
        <v>#REF!</v>
      </c>
      <c r="N103" s="5">
        <v>2394</v>
      </c>
      <c r="P103" s="5">
        <v>1873.45</v>
      </c>
      <c r="Q103" s="5">
        <v>2198.64</v>
      </c>
      <c r="R103" s="6">
        <f t="shared" si="46"/>
        <v>-0.14790506858785424</v>
      </c>
      <c r="S103" s="85" t="s">
        <v>205</v>
      </c>
      <c r="T103" s="83" t="s">
        <v>142</v>
      </c>
    </row>
    <row r="104" spans="1:20" x14ac:dyDescent="0.25">
      <c r="A104" s="54">
        <v>103</v>
      </c>
      <c r="C104" s="1" t="s">
        <v>55</v>
      </c>
      <c r="H104" s="5">
        <v>2000</v>
      </c>
      <c r="I104" s="46">
        <v>1500</v>
      </c>
      <c r="J104" s="6">
        <f t="shared" si="44"/>
        <v>0.33333333333333331</v>
      </c>
      <c r="K104" s="46" t="e">
        <f>+#REF!</f>
        <v>#REF!</v>
      </c>
      <c r="L104" s="6" t="e">
        <f t="shared" si="45"/>
        <v>#REF!</v>
      </c>
      <c r="M104" s="46" t="e">
        <f>+#REF!</f>
        <v>#REF!</v>
      </c>
      <c r="N104" s="5">
        <v>1240</v>
      </c>
      <c r="P104" s="5">
        <v>738.72</v>
      </c>
      <c r="Q104" s="5">
        <v>1000</v>
      </c>
      <c r="R104" s="6">
        <f t="shared" si="46"/>
        <v>-0.26127999999999996</v>
      </c>
      <c r="S104" s="83" t="s">
        <v>224</v>
      </c>
      <c r="T104" s="83" t="s">
        <v>209</v>
      </c>
    </row>
    <row r="105" spans="1:20" x14ac:dyDescent="0.25">
      <c r="A105" s="54">
        <v>104</v>
      </c>
      <c r="C105" s="1" t="s">
        <v>61</v>
      </c>
      <c r="H105" s="5">
        <v>0</v>
      </c>
      <c r="I105" s="46">
        <v>0</v>
      </c>
      <c r="J105" s="6" t="str">
        <f t="shared" si="44"/>
        <v>NA</v>
      </c>
      <c r="K105" s="46" t="e">
        <f>+#REF!</f>
        <v>#REF!</v>
      </c>
      <c r="L105" s="6" t="e">
        <f t="shared" si="45"/>
        <v>#REF!</v>
      </c>
      <c r="M105" s="46" t="e">
        <f>+#REF!</f>
        <v>#REF!</v>
      </c>
      <c r="N105" s="5">
        <v>0</v>
      </c>
      <c r="P105" s="5">
        <v>0</v>
      </c>
      <c r="Q105" s="5">
        <v>0</v>
      </c>
      <c r="R105" s="6" t="str">
        <f t="shared" si="46"/>
        <v>NA</v>
      </c>
      <c r="S105" s="78"/>
      <c r="T105" s="83" t="s">
        <v>143</v>
      </c>
    </row>
    <row r="106" spans="1:20" s="4" customFormat="1" x14ac:dyDescent="0.25">
      <c r="A106" s="54">
        <v>105</v>
      </c>
      <c r="B106" s="31" t="s">
        <v>62</v>
      </c>
      <c r="C106" s="31"/>
      <c r="D106" s="31"/>
      <c r="E106" s="31"/>
      <c r="F106" s="31"/>
      <c r="G106" s="31"/>
      <c r="H106" s="31">
        <f>SUM(H100:H105)</f>
        <v>49856</v>
      </c>
      <c r="I106" s="31">
        <v>48242</v>
      </c>
      <c r="J106" s="32">
        <f t="shared" si="44"/>
        <v>3.3456324364661498E-2</v>
      </c>
      <c r="K106" s="31" t="e">
        <f>SUM(K100:K105)</f>
        <v>#REF!</v>
      </c>
      <c r="L106" s="32" t="e">
        <f t="shared" si="45"/>
        <v>#REF!</v>
      </c>
      <c r="M106" s="31" t="e">
        <f>SUM(M100:M105)</f>
        <v>#REF!</v>
      </c>
      <c r="N106" s="31">
        <f>SUM(N100:N105)</f>
        <v>40659</v>
      </c>
      <c r="P106" s="31">
        <f>SUM(P100:P105)</f>
        <v>31074.730000000003</v>
      </c>
      <c r="Q106" s="31">
        <f>SUM(Q100:Q105)</f>
        <v>32161.279999999999</v>
      </c>
      <c r="R106" s="32">
        <f t="shared" si="46"/>
        <v>-3.3784414053171875E-2</v>
      </c>
      <c r="S106" s="79"/>
      <c r="T106" s="83"/>
    </row>
    <row r="107" spans="1:20" ht="6" customHeight="1" x14ac:dyDescent="0.25">
      <c r="A107" s="54">
        <v>106</v>
      </c>
      <c r="J107" s="7"/>
      <c r="M107" s="1"/>
      <c r="N107" s="1"/>
      <c r="S107" s="78"/>
      <c r="T107" s="86"/>
    </row>
    <row r="108" spans="1:20" x14ac:dyDescent="0.25">
      <c r="A108" s="54">
        <v>107</v>
      </c>
      <c r="B108" s="4" t="s">
        <v>63</v>
      </c>
      <c r="J108" s="7"/>
      <c r="M108" s="1"/>
      <c r="N108" s="1"/>
      <c r="S108" s="78"/>
      <c r="T108" s="83"/>
    </row>
    <row r="109" spans="1:20" x14ac:dyDescent="0.25">
      <c r="A109" s="54">
        <v>108</v>
      </c>
      <c r="C109" s="1" t="s">
        <v>64</v>
      </c>
      <c r="E109" s="76">
        <v>0.03</v>
      </c>
      <c r="F109" s="75" t="s">
        <v>165</v>
      </c>
      <c r="G109" s="77">
        <f>ROUND(+$I109*(1+$E$110),0)</f>
        <v>10065</v>
      </c>
      <c r="H109" s="5">
        <f>1500*12</f>
        <v>18000</v>
      </c>
      <c r="I109" s="46">
        <v>9772</v>
      </c>
      <c r="J109" s="6">
        <f t="shared" ref="J109:J116" si="47">IF(I109=0,"NA",(+H109-I109)/I109)</f>
        <v>0.84199754400327464</v>
      </c>
      <c r="K109" s="46" t="e">
        <f>+#REF!</f>
        <v>#REF!</v>
      </c>
      <c r="L109" s="6" t="e">
        <f t="shared" ref="L109:L116" si="48">IF(K109=0,"NA",(+H109-K109)/K109)</f>
        <v>#REF!</v>
      </c>
      <c r="M109" s="46" t="e">
        <f>+#REF!</f>
        <v>#REF!</v>
      </c>
      <c r="N109" s="5">
        <v>9580</v>
      </c>
      <c r="P109" s="5">
        <v>6683.65</v>
      </c>
      <c r="Q109" s="5">
        <v>6514.64</v>
      </c>
      <c r="R109" s="6">
        <f t="shared" ref="R109:R116" si="49">IF(Q109=0,"NA",(+P109-Q109)/Q109)</f>
        <v>2.5943106602974116E-2</v>
      </c>
      <c r="S109" s="83" t="s">
        <v>190</v>
      </c>
      <c r="T109" s="83" t="s">
        <v>211</v>
      </c>
    </row>
    <row r="110" spans="1:20" x14ac:dyDescent="0.25">
      <c r="A110" s="54">
        <v>109</v>
      </c>
      <c r="C110" s="1" t="s">
        <v>65</v>
      </c>
      <c r="E110" s="76">
        <v>0.03</v>
      </c>
      <c r="F110" s="75" t="s">
        <v>166</v>
      </c>
      <c r="G110" s="77"/>
      <c r="H110" s="5">
        <v>500</v>
      </c>
      <c r="I110" s="46">
        <v>500</v>
      </c>
      <c r="J110" s="6">
        <f t="shared" si="47"/>
        <v>0</v>
      </c>
      <c r="K110" s="46" t="e">
        <f>+#REF!</f>
        <v>#REF!</v>
      </c>
      <c r="L110" s="6" t="e">
        <f t="shared" si="48"/>
        <v>#REF!</v>
      </c>
      <c r="M110" s="46" t="e">
        <f>+#REF!</f>
        <v>#REF!</v>
      </c>
      <c r="N110" s="5">
        <v>400</v>
      </c>
      <c r="P110" s="5">
        <v>300</v>
      </c>
      <c r="Q110" s="5">
        <v>333.36</v>
      </c>
      <c r="R110" s="6">
        <f t="shared" si="49"/>
        <v>-0.1000719942404608</v>
      </c>
      <c r="S110" s="83" t="s">
        <v>185</v>
      </c>
      <c r="T110" s="83" t="s">
        <v>209</v>
      </c>
    </row>
    <row r="111" spans="1:20" x14ac:dyDescent="0.25">
      <c r="A111" s="54">
        <v>110</v>
      </c>
      <c r="C111" s="1" t="s">
        <v>66</v>
      </c>
      <c r="G111" s="77">
        <f>ROUND(+$I111*(1+$E$110),0)</f>
        <v>19070</v>
      </c>
      <c r="H111" s="46">
        <f>+G111</f>
        <v>19070</v>
      </c>
      <c r="I111" s="46">
        <v>18515</v>
      </c>
      <c r="J111" s="6">
        <f t="shared" si="47"/>
        <v>2.9975695382122605E-2</v>
      </c>
      <c r="K111" s="46" t="e">
        <f>+#REF!</f>
        <v>#REF!</v>
      </c>
      <c r="L111" s="6" t="e">
        <f t="shared" si="48"/>
        <v>#REF!</v>
      </c>
      <c r="M111" s="46" t="e">
        <f>+#REF!</f>
        <v>#REF!</v>
      </c>
      <c r="N111" s="5">
        <v>17492</v>
      </c>
      <c r="P111" s="5">
        <v>12351.32</v>
      </c>
      <c r="Q111" s="5">
        <v>12343.36</v>
      </c>
      <c r="R111" s="6">
        <f t="shared" si="49"/>
        <v>6.4488113447222853E-4</v>
      </c>
      <c r="S111" s="83" t="s">
        <v>194</v>
      </c>
      <c r="T111" s="83" t="s">
        <v>211</v>
      </c>
    </row>
    <row r="112" spans="1:20" x14ac:dyDescent="0.25">
      <c r="A112" s="54">
        <v>111</v>
      </c>
      <c r="C112" s="1" t="s">
        <v>67</v>
      </c>
      <c r="G112" s="77">
        <f>ROUND(+$I112*(1+$E$110),0)</f>
        <v>7052</v>
      </c>
      <c r="H112" s="41">
        <f>+G112</f>
        <v>7052</v>
      </c>
      <c r="I112" s="46">
        <v>6847</v>
      </c>
      <c r="J112" s="6">
        <f t="shared" si="47"/>
        <v>2.9940119760479042E-2</v>
      </c>
      <c r="K112" s="46" t="e">
        <f>+#REF!</f>
        <v>#REF!</v>
      </c>
      <c r="L112" s="6" t="e">
        <f t="shared" si="48"/>
        <v>#REF!</v>
      </c>
      <c r="M112" s="46" t="e">
        <f>+#REF!</f>
        <v>#REF!</v>
      </c>
      <c r="N112" s="5">
        <v>6389</v>
      </c>
      <c r="P112" s="5">
        <v>4108.2</v>
      </c>
      <c r="Q112" s="5">
        <v>4564.6400000000003</v>
      </c>
      <c r="R112" s="6">
        <f t="shared" si="49"/>
        <v>-9.9994742192155456E-2</v>
      </c>
      <c r="S112" s="83" t="s">
        <v>194</v>
      </c>
      <c r="T112" s="83" t="s">
        <v>211</v>
      </c>
    </row>
    <row r="113" spans="1:21" x14ac:dyDescent="0.25">
      <c r="A113" s="54">
        <v>112</v>
      </c>
      <c r="C113" s="1" t="s">
        <v>68</v>
      </c>
      <c r="G113" s="77">
        <f>ROUND(+$I113*(1+$E$110),0)</f>
        <v>1784</v>
      </c>
      <c r="H113" s="5">
        <v>1750</v>
      </c>
      <c r="I113" s="46">
        <v>1732</v>
      </c>
      <c r="J113" s="6">
        <f t="shared" si="47"/>
        <v>1.0392609699769052E-2</v>
      </c>
      <c r="K113" s="46" t="e">
        <f>+#REF!</f>
        <v>#REF!</v>
      </c>
      <c r="L113" s="6" t="e">
        <f t="shared" si="48"/>
        <v>#REF!</v>
      </c>
      <c r="M113" s="46" t="e">
        <f>+#REF!</f>
        <v>#REF!</v>
      </c>
      <c r="N113" s="5">
        <v>1697</v>
      </c>
      <c r="P113" s="5">
        <v>1154.6400000000001</v>
      </c>
      <c r="Q113" s="5">
        <v>1154.6400000000001</v>
      </c>
      <c r="R113" s="6">
        <f t="shared" si="49"/>
        <v>0</v>
      </c>
      <c r="S113" s="83" t="s">
        <v>225</v>
      </c>
      <c r="T113" s="83" t="s">
        <v>211</v>
      </c>
    </row>
    <row r="114" spans="1:21" x14ac:dyDescent="0.25">
      <c r="C114" s="1" t="s">
        <v>195</v>
      </c>
      <c r="H114" s="5">
        <v>1200</v>
      </c>
      <c r="I114" s="46">
        <v>2400</v>
      </c>
      <c r="J114" s="6">
        <f t="shared" ref="J114" si="50">IF(I114=0,"NA",(+H114-I114)/I114)</f>
        <v>-0.5</v>
      </c>
      <c r="K114" s="46" t="e">
        <f>+#REF!</f>
        <v>#REF!</v>
      </c>
      <c r="L114" s="6" t="e">
        <f t="shared" ref="L114" si="51">IF(K114=0,"NA",(+H114-K114)/K114)</f>
        <v>#REF!</v>
      </c>
      <c r="M114" s="46" t="e">
        <f>+#REF!</f>
        <v>#REF!</v>
      </c>
      <c r="N114" s="5">
        <v>2400</v>
      </c>
      <c r="P114" s="5">
        <v>0</v>
      </c>
      <c r="Q114" s="5">
        <v>0</v>
      </c>
      <c r="R114" s="6" t="str">
        <f t="shared" ref="R114" si="52">IF(Q114=0,"NA",(+P114-Q114)/Q114)</f>
        <v>NA</v>
      </c>
      <c r="S114" s="83" t="s">
        <v>226</v>
      </c>
    </row>
    <row r="115" spans="1:21" ht="30" x14ac:dyDescent="0.25">
      <c r="A115" s="54">
        <v>113</v>
      </c>
      <c r="C115" s="1" t="s">
        <v>139</v>
      </c>
      <c r="H115" s="5">
        <v>2400</v>
      </c>
      <c r="I115" s="46">
        <v>2400</v>
      </c>
      <c r="J115" s="6">
        <f t="shared" si="47"/>
        <v>0</v>
      </c>
      <c r="K115" s="46" t="e">
        <f>+#REF!</f>
        <v>#REF!</v>
      </c>
      <c r="L115" s="6" t="e">
        <f t="shared" si="48"/>
        <v>#REF!</v>
      </c>
      <c r="M115" s="46" t="e">
        <f>+#REF!</f>
        <v>#REF!</v>
      </c>
      <c r="N115" s="5">
        <v>2400</v>
      </c>
      <c r="P115" s="5">
        <v>400</v>
      </c>
      <c r="Q115" s="5">
        <v>1600</v>
      </c>
      <c r="R115" s="6">
        <f t="shared" si="49"/>
        <v>-0.75</v>
      </c>
      <c r="S115" s="85" t="s">
        <v>227</v>
      </c>
      <c r="T115" s="83" t="s">
        <v>212</v>
      </c>
    </row>
    <row r="116" spans="1:21" s="4" customFormat="1" x14ac:dyDescent="0.25">
      <c r="A116" s="54">
        <v>114</v>
      </c>
      <c r="B116" s="31" t="s">
        <v>69</v>
      </c>
      <c r="C116" s="31"/>
      <c r="D116" s="31"/>
      <c r="E116" s="31"/>
      <c r="F116" s="31"/>
      <c r="G116" s="31"/>
      <c r="H116" s="31">
        <f>SUM(H109:H115)</f>
        <v>49972</v>
      </c>
      <c r="I116" s="31">
        <v>39766</v>
      </c>
      <c r="J116" s="32">
        <f t="shared" si="47"/>
        <v>0.25665141075290449</v>
      </c>
      <c r="K116" s="31" t="e">
        <f>SUM(K109:K115)</f>
        <v>#REF!</v>
      </c>
      <c r="L116" s="32" t="e">
        <f t="shared" si="48"/>
        <v>#REF!</v>
      </c>
      <c r="M116" s="31" t="e">
        <f>SUM(M109:M115)</f>
        <v>#REF!</v>
      </c>
      <c r="N116" s="31">
        <f>SUM(N109:N115)</f>
        <v>40358</v>
      </c>
      <c r="P116" s="31">
        <f>SUM(P109:P115)</f>
        <v>24997.81</v>
      </c>
      <c r="Q116" s="31">
        <f>SUM(Q109:Q115)</f>
        <v>26510.639999999999</v>
      </c>
      <c r="R116" s="32">
        <f t="shared" si="49"/>
        <v>-5.7065012387479068E-2</v>
      </c>
      <c r="S116" s="79"/>
      <c r="T116" s="83"/>
    </row>
    <row r="117" spans="1:21" ht="6.75" customHeight="1" x14ac:dyDescent="0.25">
      <c r="A117" s="54">
        <v>115</v>
      </c>
      <c r="J117" s="7"/>
      <c r="M117" s="1"/>
      <c r="N117" s="1"/>
      <c r="S117" s="78"/>
      <c r="T117" s="87"/>
    </row>
    <row r="118" spans="1:21" ht="14.25" customHeight="1" x14ac:dyDescent="0.25">
      <c r="A118" s="54">
        <v>116</v>
      </c>
      <c r="B118" s="4" t="s">
        <v>70</v>
      </c>
      <c r="G118" s="33"/>
      <c r="J118" s="7"/>
      <c r="M118" s="1"/>
      <c r="N118" s="1"/>
      <c r="S118" s="78"/>
      <c r="T118" s="86"/>
      <c r="U118" s="48"/>
    </row>
    <row r="119" spans="1:21" ht="30" x14ac:dyDescent="0.25">
      <c r="A119" s="54">
        <v>117</v>
      </c>
      <c r="C119" s="1" t="s">
        <v>123</v>
      </c>
      <c r="F119" s="81" t="s">
        <v>131</v>
      </c>
      <c r="G119" s="46">
        <f>ROUND(+$I119*(1),0)</f>
        <v>12623</v>
      </c>
      <c r="H119" s="46">
        <f>+G119</f>
        <v>12623</v>
      </c>
      <c r="I119" s="46">
        <v>12623</v>
      </c>
      <c r="J119" s="6">
        <f t="shared" ref="J119:J130" si="53">IF(I119=0,"NA",(+H119-I119)/I119)</f>
        <v>0</v>
      </c>
      <c r="K119" s="46" t="e">
        <f>+#REF!</f>
        <v>#REF!</v>
      </c>
      <c r="L119" s="6" t="e">
        <f t="shared" ref="L119:L130" si="54">IF(K119=0,"NA",(+H119-K119)/K119)</f>
        <v>#REF!</v>
      </c>
      <c r="M119" s="46" t="e">
        <f>+#REF!</f>
        <v>#REF!</v>
      </c>
      <c r="N119" s="5">
        <v>11830</v>
      </c>
      <c r="P119" s="5">
        <v>5215.87</v>
      </c>
      <c r="Q119" s="5">
        <v>8415.36</v>
      </c>
      <c r="R119" s="6">
        <f t="shared" ref="R119:R130" si="55">IF(Q119=0,"NA",(+P119-Q119)/Q119)</f>
        <v>-0.38019645030040311</v>
      </c>
      <c r="S119" s="85" t="s">
        <v>228</v>
      </c>
      <c r="T119" s="83" t="s">
        <v>213</v>
      </c>
      <c r="U119" s="67"/>
    </row>
    <row r="120" spans="1:21" x14ac:dyDescent="0.25">
      <c r="A120" s="54">
        <v>118</v>
      </c>
      <c r="C120" s="1" t="s">
        <v>72</v>
      </c>
      <c r="G120" s="77">
        <f>ROUND(+$I120*(1+$E$109),0)</f>
        <v>33323</v>
      </c>
      <c r="H120" s="46">
        <f>+G120</f>
        <v>33323</v>
      </c>
      <c r="I120" s="46">
        <v>32352</v>
      </c>
      <c r="J120" s="6">
        <f t="shared" si="53"/>
        <v>3.0013600395647873E-2</v>
      </c>
      <c r="K120" s="46" t="e">
        <f>+#REF!</f>
        <v>#REF!</v>
      </c>
      <c r="L120" s="6" t="e">
        <f t="shared" si="54"/>
        <v>#REF!</v>
      </c>
      <c r="M120" s="46" t="e">
        <f>+#REF!</f>
        <v>#REF!</v>
      </c>
      <c r="N120" s="5">
        <v>31785</v>
      </c>
      <c r="P120" s="5">
        <v>19748.169999999998</v>
      </c>
      <c r="Q120" s="5">
        <v>21568</v>
      </c>
      <c r="R120" s="6">
        <f t="shared" si="55"/>
        <v>-8.4376390949554972E-2</v>
      </c>
      <c r="S120" s="83" t="s">
        <v>194</v>
      </c>
      <c r="T120" s="83" t="s">
        <v>211</v>
      </c>
    </row>
    <row r="121" spans="1:21" x14ac:dyDescent="0.25">
      <c r="A121" s="54">
        <v>119</v>
      </c>
      <c r="C121" s="1" t="s">
        <v>73</v>
      </c>
      <c r="H121" s="5">
        <v>0</v>
      </c>
      <c r="I121" s="46">
        <v>400</v>
      </c>
      <c r="J121" s="6">
        <f t="shared" si="53"/>
        <v>-1</v>
      </c>
      <c r="K121" s="46" t="e">
        <f>+#REF!</f>
        <v>#REF!</v>
      </c>
      <c r="L121" s="6" t="e">
        <f t="shared" si="54"/>
        <v>#REF!</v>
      </c>
      <c r="M121" s="46" t="e">
        <f>+#REF!</f>
        <v>#REF!</v>
      </c>
      <c r="N121" s="5">
        <v>569</v>
      </c>
      <c r="P121" s="5">
        <v>195.34</v>
      </c>
      <c r="Q121" s="5">
        <v>266.64</v>
      </c>
      <c r="R121" s="6">
        <f t="shared" si="55"/>
        <v>-0.26740174017401735</v>
      </c>
      <c r="S121" s="87" t="s">
        <v>245</v>
      </c>
      <c r="T121" s="85" t="s">
        <v>214</v>
      </c>
    </row>
    <row r="122" spans="1:21" ht="60" x14ac:dyDescent="0.25">
      <c r="A122" s="54">
        <v>120</v>
      </c>
      <c r="C122" s="1" t="s">
        <v>134</v>
      </c>
      <c r="H122" s="5">
        <f>700</f>
        <v>700</v>
      </c>
      <c r="I122" s="46">
        <v>900</v>
      </c>
      <c r="J122" s="6">
        <f t="shared" si="53"/>
        <v>-0.22222222222222221</v>
      </c>
      <c r="K122" s="46" t="e">
        <f>+#REF!</f>
        <v>#REF!</v>
      </c>
      <c r="L122" s="6" t="e">
        <f t="shared" si="54"/>
        <v>#REF!</v>
      </c>
      <c r="M122" s="46" t="e">
        <f>+#REF!</f>
        <v>#REF!</v>
      </c>
      <c r="N122" s="5">
        <v>700</v>
      </c>
      <c r="P122" s="5">
        <v>75</v>
      </c>
      <c r="Q122" s="5">
        <v>600</v>
      </c>
      <c r="R122" s="6">
        <f t="shared" si="55"/>
        <v>-0.875</v>
      </c>
      <c r="S122" s="83" t="s">
        <v>229</v>
      </c>
      <c r="T122" s="83" t="s">
        <v>180</v>
      </c>
    </row>
    <row r="123" spans="1:21" ht="45" x14ac:dyDescent="0.25">
      <c r="C123" s="1" t="s">
        <v>191</v>
      </c>
      <c r="H123" s="5">
        <v>20000</v>
      </c>
      <c r="I123" s="5">
        <v>0</v>
      </c>
      <c r="J123" s="6" t="str">
        <f t="shared" si="53"/>
        <v>NA</v>
      </c>
      <c r="K123" s="46" t="e">
        <f>+#REF!</f>
        <v>#REF!</v>
      </c>
      <c r="L123" s="6" t="e">
        <f t="shared" si="54"/>
        <v>#REF!</v>
      </c>
      <c r="M123" s="5">
        <v>0</v>
      </c>
      <c r="N123" s="5">
        <v>0</v>
      </c>
      <c r="P123" s="5">
        <v>0</v>
      </c>
      <c r="Q123" s="5">
        <v>0</v>
      </c>
      <c r="R123" s="6" t="str">
        <f t="shared" si="55"/>
        <v>NA</v>
      </c>
      <c r="S123" s="85" t="s">
        <v>230</v>
      </c>
    </row>
    <row r="124" spans="1:21" ht="30" x14ac:dyDescent="0.25">
      <c r="C124" s="1" t="s">
        <v>169</v>
      </c>
      <c r="H124" s="5">
        <f>1500+2870</f>
        <v>4370</v>
      </c>
      <c r="I124" s="5">
        <v>4370</v>
      </c>
      <c r="J124" s="6">
        <f t="shared" ref="J124" si="56">IF(I124=0,"NA",(+H124-I124)/I124)</f>
        <v>0</v>
      </c>
      <c r="K124" s="46" t="e">
        <f>+#REF!</f>
        <v>#REF!</v>
      </c>
      <c r="L124" s="6" t="e">
        <f t="shared" ref="L124" si="57">IF(K124=0,"NA",(+H124-K124)/K124)</f>
        <v>#REF!</v>
      </c>
      <c r="M124" s="5">
        <v>0</v>
      </c>
      <c r="N124" s="5">
        <v>0</v>
      </c>
      <c r="P124" s="5">
        <v>460</v>
      </c>
      <c r="Q124" s="5">
        <v>2913.36</v>
      </c>
      <c r="R124" s="6">
        <f t="shared" ref="R124" si="58">IF(Q124=0,"NA",(+P124-Q124)/Q124)</f>
        <v>-0.84210670840541502</v>
      </c>
      <c r="S124" s="83" t="s">
        <v>168</v>
      </c>
      <c r="T124" s="83" t="s">
        <v>168</v>
      </c>
    </row>
    <row r="125" spans="1:21" x14ac:dyDescent="0.25">
      <c r="A125" s="54">
        <v>122</v>
      </c>
      <c r="C125" s="1" t="s">
        <v>111</v>
      </c>
      <c r="F125" s="69"/>
      <c r="G125" s="77">
        <f>ROUND(+$I125*(1),0)</f>
        <v>18299</v>
      </c>
      <c r="H125" s="46">
        <f>+G125</f>
        <v>18299</v>
      </c>
      <c r="I125" s="46">
        <v>18299</v>
      </c>
      <c r="J125" s="6">
        <f t="shared" si="53"/>
        <v>0</v>
      </c>
      <c r="K125" s="46" t="e">
        <f>+#REF!</f>
        <v>#REF!</v>
      </c>
      <c r="L125" s="6" t="e">
        <f t="shared" si="54"/>
        <v>#REF!</v>
      </c>
      <c r="M125" s="46" t="e">
        <f>+#REF!</f>
        <v>#REF!</v>
      </c>
      <c r="N125" s="5">
        <v>19111</v>
      </c>
      <c r="P125" s="5">
        <v>12230.26</v>
      </c>
      <c r="Q125" s="5">
        <v>12199.36</v>
      </c>
      <c r="R125" s="6">
        <f t="shared" si="55"/>
        <v>2.5329197597250704E-3</v>
      </c>
      <c r="S125" s="85" t="s">
        <v>231</v>
      </c>
      <c r="T125" s="85" t="s">
        <v>211</v>
      </c>
      <c r="U125" s="67"/>
    </row>
    <row r="126" spans="1:21" x14ac:dyDescent="0.25">
      <c r="A126" s="54">
        <v>123</v>
      </c>
      <c r="C126" s="1" t="s">
        <v>74</v>
      </c>
      <c r="G126" s="64"/>
      <c r="H126" s="63">
        <v>10000</v>
      </c>
      <c r="I126" s="46">
        <v>10000</v>
      </c>
      <c r="J126" s="6">
        <f t="shared" si="53"/>
        <v>0</v>
      </c>
      <c r="K126" s="46" t="e">
        <f>+#REF!</f>
        <v>#REF!</v>
      </c>
      <c r="L126" s="6" t="e">
        <f t="shared" si="54"/>
        <v>#REF!</v>
      </c>
      <c r="M126" s="46" t="e">
        <f>+#REF!</f>
        <v>#REF!</v>
      </c>
      <c r="N126" s="5">
        <v>9696</v>
      </c>
      <c r="P126" s="63">
        <v>5252.75</v>
      </c>
      <c r="Q126" s="63">
        <v>6666.64</v>
      </c>
      <c r="R126" s="6">
        <f t="shared" si="55"/>
        <v>-0.2120843483373934</v>
      </c>
      <c r="S126" s="85" t="s">
        <v>232</v>
      </c>
      <c r="T126" s="83" t="s">
        <v>215</v>
      </c>
    </row>
    <row r="127" spans="1:21" x14ac:dyDescent="0.25">
      <c r="A127" s="54">
        <v>124</v>
      </c>
      <c r="C127" s="1" t="s">
        <v>75</v>
      </c>
      <c r="H127" s="63">
        <v>3431</v>
      </c>
      <c r="I127" s="46">
        <v>3431</v>
      </c>
      <c r="J127" s="6">
        <f t="shared" si="53"/>
        <v>0</v>
      </c>
      <c r="K127" s="46" t="e">
        <f>+#REF!</f>
        <v>#REF!</v>
      </c>
      <c r="L127" s="6" t="e">
        <f t="shared" si="54"/>
        <v>#REF!</v>
      </c>
      <c r="M127" s="46" t="e">
        <f>+#REF!</f>
        <v>#REF!</v>
      </c>
      <c r="N127" s="5">
        <v>3120</v>
      </c>
      <c r="P127" s="63">
        <v>1773</v>
      </c>
      <c r="Q127" s="63">
        <v>2573.25</v>
      </c>
      <c r="R127" s="6">
        <f t="shared" si="55"/>
        <v>-0.3109880501311571</v>
      </c>
      <c r="S127" s="85" t="s">
        <v>232</v>
      </c>
      <c r="T127" s="83" t="s">
        <v>215</v>
      </c>
    </row>
    <row r="128" spans="1:21" x14ac:dyDescent="0.25">
      <c r="A128" s="54">
        <v>125</v>
      </c>
      <c r="C128" s="1" t="s">
        <v>76</v>
      </c>
      <c r="H128" s="63">
        <v>600</v>
      </c>
      <c r="I128" s="46">
        <v>600</v>
      </c>
      <c r="J128" s="6">
        <f t="shared" si="53"/>
        <v>0</v>
      </c>
      <c r="K128" s="46" t="e">
        <f>+#REF!</f>
        <v>#REF!</v>
      </c>
      <c r="L128" s="6" t="e">
        <f t="shared" si="54"/>
        <v>#REF!</v>
      </c>
      <c r="M128" s="46" t="e">
        <f>+#REF!</f>
        <v>#REF!</v>
      </c>
      <c r="N128" s="5">
        <v>700</v>
      </c>
      <c r="P128" s="63">
        <v>800</v>
      </c>
      <c r="Q128" s="63">
        <v>400</v>
      </c>
      <c r="R128" s="6">
        <f t="shared" si="55"/>
        <v>1</v>
      </c>
      <c r="S128" s="83" t="s">
        <v>233</v>
      </c>
      <c r="T128" s="83" t="s">
        <v>233</v>
      </c>
    </row>
    <row r="129" spans="1:20" s="4" customFormat="1" x14ac:dyDescent="0.25">
      <c r="A129" s="54">
        <v>127</v>
      </c>
      <c r="B129" s="31" t="s">
        <v>71</v>
      </c>
      <c r="C129" s="31"/>
      <c r="D129" s="31"/>
      <c r="E129" s="31"/>
      <c r="F129" s="31"/>
      <c r="G129" s="31"/>
      <c r="H129" s="31">
        <f>SUM(H119:H128)</f>
        <v>103346</v>
      </c>
      <c r="I129" s="31">
        <v>82975</v>
      </c>
      <c r="J129" s="32">
        <f t="shared" si="53"/>
        <v>0.24550768303705936</v>
      </c>
      <c r="K129" s="31" t="e">
        <f>SUM(K119:K128)</f>
        <v>#REF!</v>
      </c>
      <c r="L129" s="32" t="e">
        <f t="shared" si="54"/>
        <v>#REF!</v>
      </c>
      <c r="M129" s="31" t="e">
        <f>SUM(M119:M128)</f>
        <v>#REF!</v>
      </c>
      <c r="N129" s="31">
        <f>SUM(N119:N128)</f>
        <v>77511</v>
      </c>
      <c r="P129" s="31">
        <f>SUM(P119:P128)</f>
        <v>45750.39</v>
      </c>
      <c r="Q129" s="31">
        <f>SUM(Q119:Q128)</f>
        <v>55602.61</v>
      </c>
      <c r="R129" s="32">
        <f t="shared" si="55"/>
        <v>-0.17718988371229338</v>
      </c>
      <c r="S129" s="79"/>
      <c r="T129" s="87"/>
    </row>
    <row r="130" spans="1:20" x14ac:dyDescent="0.25">
      <c r="A130" s="54">
        <v>128</v>
      </c>
      <c r="B130" s="31" t="s">
        <v>77</v>
      </c>
      <c r="C130" s="31"/>
      <c r="D130" s="42" t="str">
        <f>0*100%&amp;"% Cost of Living"</f>
        <v>0% Cost of Living</v>
      </c>
      <c r="E130" s="42"/>
      <c r="F130" s="42"/>
      <c r="G130" s="42"/>
      <c r="H130" s="31">
        <f>+H87+H92+H97+H106+H116+H129</f>
        <v>337962.16000000003</v>
      </c>
      <c r="I130" s="31">
        <v>306532</v>
      </c>
      <c r="J130" s="32">
        <f t="shared" si="53"/>
        <v>0.10253467827176292</v>
      </c>
      <c r="K130" s="31" t="e">
        <f>+K87+K92+K97+K106+K116+K129</f>
        <v>#REF!</v>
      </c>
      <c r="L130" s="32" t="e">
        <f t="shared" si="54"/>
        <v>#REF!</v>
      </c>
      <c r="M130" s="31" t="e">
        <f>+M87+M92+M97+M106+M116+M129</f>
        <v>#REF!</v>
      </c>
      <c r="N130" s="31">
        <f>+N87+N92+N97+N106+N116+N129</f>
        <v>359195</v>
      </c>
      <c r="P130" s="31">
        <f>+P87+P92+P97+P106+P116+P129</f>
        <v>193691.14999999997</v>
      </c>
      <c r="Q130" s="31">
        <f>+Q87+Q92+Q97+Q106+Q116+Q129</f>
        <v>206640.52999999997</v>
      </c>
      <c r="R130" s="32">
        <f t="shared" si="55"/>
        <v>-6.2666215577360393E-2</v>
      </c>
      <c r="S130" s="78"/>
      <c r="T130" s="83"/>
    </row>
    <row r="131" spans="1:20" ht="8.25" customHeight="1" x14ac:dyDescent="0.25">
      <c r="A131" s="54">
        <v>129</v>
      </c>
      <c r="J131" s="7"/>
      <c r="M131" s="1"/>
      <c r="N131" s="1"/>
      <c r="S131" s="78"/>
      <c r="T131" s="83"/>
    </row>
    <row r="132" spans="1:20" ht="18.75" x14ac:dyDescent="0.25">
      <c r="A132" s="54">
        <v>130</v>
      </c>
      <c r="B132" s="10" t="s">
        <v>78</v>
      </c>
      <c r="J132" s="7"/>
      <c r="M132" s="1"/>
      <c r="N132" s="1"/>
      <c r="S132" s="78"/>
      <c r="T132" s="86"/>
    </row>
    <row r="133" spans="1:20" x14ac:dyDescent="0.25">
      <c r="A133" s="54">
        <v>131</v>
      </c>
      <c r="B133" s="4" t="s">
        <v>79</v>
      </c>
      <c r="J133" s="7"/>
      <c r="M133" s="1"/>
      <c r="N133" s="1"/>
      <c r="S133" s="78"/>
      <c r="T133" s="83"/>
    </row>
    <row r="134" spans="1:20" x14ac:dyDescent="0.25">
      <c r="A134" s="54">
        <v>132</v>
      </c>
      <c r="C134" s="1" t="s">
        <v>81</v>
      </c>
      <c r="H134" s="5">
        <v>17000</v>
      </c>
      <c r="I134" s="46">
        <v>17000</v>
      </c>
      <c r="J134" s="6">
        <f t="shared" ref="J134:J141" si="59">IF(I134=0,"NA",(+H134-I134)/I134)</f>
        <v>0</v>
      </c>
      <c r="K134" s="46" t="e">
        <f>+#REF!</f>
        <v>#REF!</v>
      </c>
      <c r="L134" s="6" t="e">
        <f t="shared" ref="L134:L141" si="60">IF(K134=0,"NA",(+H134-K134)/K134)</f>
        <v>#REF!</v>
      </c>
      <c r="M134" s="46" t="e">
        <f>+#REF!</f>
        <v>#REF!</v>
      </c>
      <c r="N134" s="5">
        <v>16071</v>
      </c>
      <c r="P134" s="5">
        <v>11080.66</v>
      </c>
      <c r="Q134" s="5">
        <v>11333.36</v>
      </c>
      <c r="R134" s="6">
        <f t="shared" ref="R134:R141" si="61">IF(Q134=0,"NA",(+P134-Q134)/Q134)</f>
        <v>-2.2297006359985098E-2</v>
      </c>
      <c r="S134" s="83" t="s">
        <v>185</v>
      </c>
      <c r="T134" s="83" t="s">
        <v>209</v>
      </c>
    </row>
    <row r="135" spans="1:20" x14ac:dyDescent="0.25">
      <c r="A135" s="54">
        <v>133</v>
      </c>
      <c r="C135" s="1" t="s">
        <v>82</v>
      </c>
      <c r="H135" s="5">
        <v>16000</v>
      </c>
      <c r="I135" s="46">
        <v>16000</v>
      </c>
      <c r="J135" s="6">
        <f t="shared" si="59"/>
        <v>0</v>
      </c>
      <c r="K135" s="46" t="e">
        <f>+#REF!</f>
        <v>#REF!</v>
      </c>
      <c r="L135" s="6" t="e">
        <f t="shared" si="60"/>
        <v>#REF!</v>
      </c>
      <c r="M135" s="46" t="e">
        <f>+#REF!</f>
        <v>#REF!</v>
      </c>
      <c r="N135" s="5">
        <v>10365</v>
      </c>
      <c r="P135" s="5">
        <v>7189</v>
      </c>
      <c r="Q135" s="5">
        <v>10666.64</v>
      </c>
      <c r="R135" s="6">
        <f t="shared" si="61"/>
        <v>-0.32602956507391267</v>
      </c>
      <c r="S135" s="88" t="s">
        <v>234</v>
      </c>
      <c r="T135" s="83" t="s">
        <v>216</v>
      </c>
    </row>
    <row r="136" spans="1:20" x14ac:dyDescent="0.25">
      <c r="A136" s="54">
        <v>134</v>
      </c>
      <c r="C136" s="1" t="s">
        <v>83</v>
      </c>
      <c r="G136" s="5"/>
      <c r="H136" s="5">
        <v>5976</v>
      </c>
      <c r="I136" s="46">
        <v>5976</v>
      </c>
      <c r="J136" s="6">
        <f t="shared" si="59"/>
        <v>0</v>
      </c>
      <c r="K136" s="46" t="e">
        <f>+#REF!</f>
        <v>#REF!</v>
      </c>
      <c r="L136" s="6" t="e">
        <f t="shared" si="60"/>
        <v>#REF!</v>
      </c>
      <c r="M136" s="46" t="e">
        <f>+#REF!</f>
        <v>#REF!</v>
      </c>
      <c r="N136" s="5">
        <v>3847</v>
      </c>
      <c r="P136" s="5">
        <v>3987.88</v>
      </c>
      <c r="Q136" s="5">
        <v>3984</v>
      </c>
      <c r="R136" s="6">
        <f t="shared" si="61"/>
        <v>9.738955823293447E-4</v>
      </c>
      <c r="S136" s="88" t="s">
        <v>235</v>
      </c>
      <c r="T136" s="83" t="s">
        <v>167</v>
      </c>
    </row>
    <row r="137" spans="1:20" x14ac:dyDescent="0.25">
      <c r="A137" s="54">
        <v>135</v>
      </c>
      <c r="C137" s="1" t="s">
        <v>84</v>
      </c>
      <c r="H137" s="5">
        <v>800</v>
      </c>
      <c r="I137" s="46">
        <v>800</v>
      </c>
      <c r="J137" s="6">
        <f t="shared" si="59"/>
        <v>0</v>
      </c>
      <c r="K137" s="46" t="e">
        <f>+#REF!</f>
        <v>#REF!</v>
      </c>
      <c r="L137" s="6" t="e">
        <f t="shared" si="60"/>
        <v>#REF!</v>
      </c>
      <c r="M137" s="46" t="e">
        <f>+#REF!</f>
        <v>#REF!</v>
      </c>
      <c r="N137" s="5">
        <v>766</v>
      </c>
      <c r="P137" s="5">
        <v>665.98</v>
      </c>
      <c r="Q137" s="5">
        <v>600</v>
      </c>
      <c r="R137" s="6">
        <f t="shared" si="61"/>
        <v>0.1099666666666667</v>
      </c>
      <c r="S137" s="83" t="s">
        <v>185</v>
      </c>
      <c r="T137" s="83"/>
    </row>
    <row r="138" spans="1:20" x14ac:dyDescent="0.25">
      <c r="A138" s="54">
        <v>136</v>
      </c>
      <c r="C138" s="1" t="s">
        <v>85</v>
      </c>
      <c r="H138" s="5">
        <v>3300</v>
      </c>
      <c r="I138" s="46">
        <v>3300</v>
      </c>
      <c r="J138" s="6">
        <f t="shared" si="59"/>
        <v>0</v>
      </c>
      <c r="K138" s="46" t="e">
        <f>+#REF!</f>
        <v>#REF!</v>
      </c>
      <c r="L138" s="6" t="e">
        <f t="shared" si="60"/>
        <v>#REF!</v>
      </c>
      <c r="M138" s="46" t="e">
        <f>+#REF!</f>
        <v>#REF!</v>
      </c>
      <c r="N138" s="5">
        <v>3016</v>
      </c>
      <c r="P138" s="5">
        <v>2146.4</v>
      </c>
      <c r="Q138" s="5">
        <v>2200</v>
      </c>
      <c r="R138" s="6">
        <f t="shared" si="61"/>
        <v>-2.4363636363636323E-2</v>
      </c>
      <c r="S138" s="90" t="s">
        <v>237</v>
      </c>
      <c r="T138" s="88" t="s">
        <v>127</v>
      </c>
    </row>
    <row r="139" spans="1:20" x14ac:dyDescent="0.25">
      <c r="A139" s="54">
        <v>137</v>
      </c>
      <c r="C139" s="1" t="s">
        <v>86</v>
      </c>
      <c r="H139" s="5">
        <v>2700</v>
      </c>
      <c r="I139" s="46">
        <v>2700</v>
      </c>
      <c r="J139" s="6">
        <f t="shared" si="59"/>
        <v>0</v>
      </c>
      <c r="K139" s="46" t="e">
        <f>+#REF!</f>
        <v>#REF!</v>
      </c>
      <c r="L139" s="6" t="e">
        <f t="shared" si="60"/>
        <v>#REF!</v>
      </c>
      <c r="M139" s="46" t="e">
        <f>+#REF!</f>
        <v>#REF!</v>
      </c>
      <c r="N139" s="5">
        <v>2344</v>
      </c>
      <c r="P139" s="5">
        <v>1550</v>
      </c>
      <c r="Q139" s="5">
        <v>1800</v>
      </c>
      <c r="R139" s="6">
        <f t="shared" si="61"/>
        <v>-0.1388888888888889</v>
      </c>
      <c r="S139" s="85" t="s">
        <v>236</v>
      </c>
      <c r="T139" s="88" t="s">
        <v>159</v>
      </c>
    </row>
    <row r="140" spans="1:20" x14ac:dyDescent="0.25">
      <c r="A140" s="54">
        <v>138</v>
      </c>
      <c r="C140" s="1" t="s">
        <v>178</v>
      </c>
      <c r="H140" s="5">
        <v>3900</v>
      </c>
      <c r="I140" s="46">
        <v>3900</v>
      </c>
      <c r="J140" s="6">
        <f t="shared" si="59"/>
        <v>0</v>
      </c>
      <c r="K140" s="46" t="e">
        <f>+#REF!</f>
        <v>#REF!</v>
      </c>
      <c r="L140" s="6" t="e">
        <f t="shared" si="60"/>
        <v>#REF!</v>
      </c>
      <c r="M140" s="46" t="e">
        <f>+#REF!</f>
        <v>#REF!</v>
      </c>
      <c r="N140" s="5">
        <v>3025</v>
      </c>
      <c r="P140" s="5">
        <v>3954.67</v>
      </c>
      <c r="Q140" s="5">
        <v>3900</v>
      </c>
      <c r="R140" s="6">
        <f t="shared" si="61"/>
        <v>1.4017948717948736E-2</v>
      </c>
      <c r="S140" s="83" t="s">
        <v>186</v>
      </c>
      <c r="T140" s="83" t="s">
        <v>217</v>
      </c>
    </row>
    <row r="141" spans="1:20" s="4" customFormat="1" x14ac:dyDescent="0.25">
      <c r="A141" s="54">
        <v>139</v>
      </c>
      <c r="B141" s="34" t="s">
        <v>87</v>
      </c>
      <c r="C141" s="34"/>
      <c r="D141" s="34"/>
      <c r="E141" s="34"/>
      <c r="F141" s="34"/>
      <c r="G141" s="34"/>
      <c r="H141" s="34">
        <f>SUM(H134:H140)</f>
        <v>49676</v>
      </c>
      <c r="I141" s="34">
        <v>49676</v>
      </c>
      <c r="J141" s="35">
        <f t="shared" si="59"/>
        <v>0</v>
      </c>
      <c r="K141" s="34" t="e">
        <f>SUM(K134:K140)</f>
        <v>#REF!</v>
      </c>
      <c r="L141" s="35" t="e">
        <f t="shared" si="60"/>
        <v>#REF!</v>
      </c>
      <c r="M141" s="34" t="e">
        <f>SUM(M134:M140)</f>
        <v>#REF!</v>
      </c>
      <c r="N141" s="34">
        <f>SUM(N134:N140)</f>
        <v>39434</v>
      </c>
      <c r="P141" s="34">
        <f>SUM(P134:P140)</f>
        <v>30574.590000000004</v>
      </c>
      <c r="Q141" s="34">
        <f>SUM(Q134:Q140)</f>
        <v>34484</v>
      </c>
      <c r="R141" s="35">
        <f t="shared" si="61"/>
        <v>-0.11336880872288586</v>
      </c>
      <c r="S141" s="79"/>
      <c r="T141" s="88"/>
    </row>
    <row r="142" spans="1:20" s="4" customFormat="1" ht="6.75" customHeight="1" x14ac:dyDescent="0.25">
      <c r="A142" s="54">
        <v>140</v>
      </c>
      <c r="B142" s="20"/>
      <c r="C142" s="20"/>
      <c r="D142" s="20"/>
      <c r="E142" s="20"/>
      <c r="F142" s="20"/>
      <c r="G142" s="20"/>
      <c r="H142" s="20"/>
      <c r="I142" s="20"/>
      <c r="J142" s="23"/>
      <c r="K142" s="20"/>
      <c r="L142" s="23"/>
      <c r="M142" s="20"/>
      <c r="N142" s="20"/>
      <c r="P142" s="20"/>
      <c r="Q142" s="20"/>
      <c r="R142" s="23"/>
      <c r="S142" s="79"/>
      <c r="T142" s="83"/>
    </row>
    <row r="143" spans="1:20" x14ac:dyDescent="0.25">
      <c r="A143" s="54">
        <v>141</v>
      </c>
      <c r="B143" s="4" t="s">
        <v>88</v>
      </c>
      <c r="J143" s="7"/>
      <c r="M143" s="1"/>
      <c r="N143" s="1"/>
      <c r="S143" s="78"/>
      <c r="T143" s="83"/>
    </row>
    <row r="144" spans="1:20" x14ac:dyDescent="0.25">
      <c r="A144" s="54">
        <v>142</v>
      </c>
      <c r="C144" s="1" t="s">
        <v>89</v>
      </c>
      <c r="H144" s="5">
        <v>14730</v>
      </c>
      <c r="I144" s="46">
        <v>14730</v>
      </c>
      <c r="J144" s="6">
        <f t="shared" ref="J144:J153" si="62">IF(I144=0,"NA",(+H144-I144)/I144)</f>
        <v>0</v>
      </c>
      <c r="K144" s="46" t="e">
        <f>+#REF!</f>
        <v>#REF!</v>
      </c>
      <c r="L144" s="6" t="e">
        <f t="shared" ref="L144:L153" si="63">IF(K144=0,"NA",(+H144-K144)/K144)</f>
        <v>#REF!</v>
      </c>
      <c r="M144" s="46" t="e">
        <f>+#REF!</f>
        <v>#REF!</v>
      </c>
      <c r="N144" s="5">
        <v>10182</v>
      </c>
      <c r="P144" s="5">
        <v>11016.34</v>
      </c>
      <c r="Q144" s="5">
        <v>11047.5</v>
      </c>
      <c r="R144" s="6">
        <f t="shared" ref="R144:R153" si="64">IF(Q144=0,"NA",(+P144-Q144)/Q144)</f>
        <v>-2.8205476352115731E-3</v>
      </c>
      <c r="S144" s="83" t="s">
        <v>185</v>
      </c>
      <c r="T144" s="86" t="s">
        <v>160</v>
      </c>
    </row>
    <row r="145" spans="1:20" x14ac:dyDescent="0.25">
      <c r="A145" s="54">
        <v>143</v>
      </c>
      <c r="C145" s="1" t="s">
        <v>90</v>
      </c>
      <c r="H145" s="5">
        <v>5000</v>
      </c>
      <c r="I145" s="46">
        <v>5000</v>
      </c>
      <c r="J145" s="6">
        <f t="shared" si="62"/>
        <v>0</v>
      </c>
      <c r="K145" s="46" t="e">
        <f>+#REF!</f>
        <v>#REF!</v>
      </c>
      <c r="L145" s="6" t="e">
        <f t="shared" si="63"/>
        <v>#REF!</v>
      </c>
      <c r="M145" s="46" t="e">
        <f>+#REF!</f>
        <v>#REF!</v>
      </c>
      <c r="N145" s="5">
        <v>5938</v>
      </c>
      <c r="P145" s="5">
        <v>3777.19</v>
      </c>
      <c r="Q145" s="5">
        <v>3000</v>
      </c>
      <c r="R145" s="6">
        <f t="shared" si="64"/>
        <v>0.25906333333333337</v>
      </c>
      <c r="S145" s="83" t="s">
        <v>185</v>
      </c>
      <c r="T145" s="86" t="s">
        <v>209</v>
      </c>
    </row>
    <row r="146" spans="1:20" x14ac:dyDescent="0.25">
      <c r="A146" s="54">
        <v>144</v>
      </c>
      <c r="C146" s="1" t="s">
        <v>129</v>
      </c>
      <c r="H146" s="5">
        <v>2500</v>
      </c>
      <c r="I146" s="46">
        <v>2500</v>
      </c>
      <c r="J146" s="6">
        <f t="shared" si="62"/>
        <v>0</v>
      </c>
      <c r="K146" s="46" t="e">
        <f>+#REF!</f>
        <v>#REF!</v>
      </c>
      <c r="L146" s="6" t="e">
        <f t="shared" si="63"/>
        <v>#REF!</v>
      </c>
      <c r="M146" s="46" t="e">
        <f>+#REF!</f>
        <v>#REF!</v>
      </c>
      <c r="N146" s="5">
        <v>2996</v>
      </c>
      <c r="P146" s="5">
        <v>2059.1999999999998</v>
      </c>
      <c r="Q146" s="5">
        <v>1666.64</v>
      </c>
      <c r="R146" s="6">
        <f t="shared" si="64"/>
        <v>0.235539768636298</v>
      </c>
      <c r="S146" s="83" t="s">
        <v>185</v>
      </c>
      <c r="T146" s="83" t="s">
        <v>209</v>
      </c>
    </row>
    <row r="147" spans="1:20" ht="30" x14ac:dyDescent="0.25">
      <c r="A147" s="54">
        <v>145</v>
      </c>
      <c r="C147" s="102" t="s">
        <v>161</v>
      </c>
      <c r="D147" s="102"/>
      <c r="E147" s="72"/>
      <c r="F147" s="68"/>
      <c r="G147" s="61"/>
      <c r="H147" s="5">
        <v>4300</v>
      </c>
      <c r="I147" s="46">
        <v>4300</v>
      </c>
      <c r="J147" s="6">
        <f t="shared" si="62"/>
        <v>0</v>
      </c>
      <c r="K147" s="46" t="e">
        <f>+#REF!</f>
        <v>#REF!</v>
      </c>
      <c r="L147" s="6" t="e">
        <f t="shared" si="63"/>
        <v>#REF!</v>
      </c>
      <c r="M147" s="46" t="e">
        <f>+#REF!</f>
        <v>#REF!</v>
      </c>
      <c r="N147" s="5">
        <v>2796</v>
      </c>
      <c r="P147" s="5">
        <v>2781.63</v>
      </c>
      <c r="Q147" s="5">
        <v>2866.64</v>
      </c>
      <c r="R147" s="6">
        <f t="shared" si="64"/>
        <v>-2.9654927022576872E-2</v>
      </c>
      <c r="S147" s="83" t="s">
        <v>187</v>
      </c>
      <c r="T147" s="83" t="s">
        <v>218</v>
      </c>
    </row>
    <row r="148" spans="1:20" x14ac:dyDescent="0.25">
      <c r="A148" s="54">
        <v>146</v>
      </c>
      <c r="C148" s="1" t="s">
        <v>91</v>
      </c>
      <c r="H148" s="5">
        <v>6000</v>
      </c>
      <c r="I148" s="46">
        <v>6000</v>
      </c>
      <c r="J148" s="6">
        <f t="shared" si="62"/>
        <v>0</v>
      </c>
      <c r="K148" s="46" t="e">
        <f>+#REF!</f>
        <v>#REF!</v>
      </c>
      <c r="L148" s="6" t="e">
        <f t="shared" si="63"/>
        <v>#REF!</v>
      </c>
      <c r="M148" s="46" t="e">
        <f>+#REF!</f>
        <v>#REF!</v>
      </c>
      <c r="N148" s="5">
        <v>5158</v>
      </c>
      <c r="P148" s="5">
        <v>4015</v>
      </c>
      <c r="Q148" s="5">
        <v>4000</v>
      </c>
      <c r="R148" s="6">
        <f t="shared" si="64"/>
        <v>3.7499999999999999E-3</v>
      </c>
      <c r="S148" s="83" t="s">
        <v>185</v>
      </c>
      <c r="T148" s="83" t="s">
        <v>209</v>
      </c>
    </row>
    <row r="149" spans="1:20" x14ac:dyDescent="0.25">
      <c r="A149" s="54">
        <v>147</v>
      </c>
      <c r="C149" s="1" t="s">
        <v>92</v>
      </c>
      <c r="H149" s="5">
        <v>0</v>
      </c>
      <c r="I149" s="46">
        <v>0</v>
      </c>
      <c r="J149" s="6" t="str">
        <f t="shared" si="62"/>
        <v>NA</v>
      </c>
      <c r="K149" s="46" t="e">
        <f>+#REF!</f>
        <v>#REF!</v>
      </c>
      <c r="L149" s="6" t="e">
        <f t="shared" si="63"/>
        <v>#REF!</v>
      </c>
      <c r="M149" s="46" t="e">
        <f>+#REF!</f>
        <v>#REF!</v>
      </c>
      <c r="N149" s="5">
        <v>131</v>
      </c>
      <c r="P149" s="5">
        <v>0</v>
      </c>
      <c r="Q149" s="5">
        <v>0</v>
      </c>
      <c r="R149" s="6" t="str">
        <f t="shared" si="64"/>
        <v>NA</v>
      </c>
      <c r="S149" s="78"/>
      <c r="T149" s="83"/>
    </row>
    <row r="150" spans="1:20" x14ac:dyDescent="0.25">
      <c r="A150" s="54">
        <v>148</v>
      </c>
      <c r="C150" s="1" t="s">
        <v>94</v>
      </c>
      <c r="H150" s="5">
        <f>54900/12*2</f>
        <v>9150</v>
      </c>
      <c r="I150" s="46">
        <v>54900</v>
      </c>
      <c r="J150" s="6">
        <f t="shared" si="62"/>
        <v>-0.83333333333333337</v>
      </c>
      <c r="K150" s="46" t="e">
        <f>+#REF!</f>
        <v>#REF!</v>
      </c>
      <c r="L150" s="6" t="e">
        <f t="shared" si="63"/>
        <v>#REF!</v>
      </c>
      <c r="M150" s="46" t="e">
        <f>+#REF!</f>
        <v>#REF!</v>
      </c>
      <c r="N150" s="5">
        <v>55793</v>
      </c>
      <c r="P150" s="5">
        <v>41157</v>
      </c>
      <c r="Q150" s="5">
        <v>36600</v>
      </c>
      <c r="R150" s="6">
        <f t="shared" si="64"/>
        <v>0.12450819672131147</v>
      </c>
      <c r="S150" s="85" t="s">
        <v>238</v>
      </c>
      <c r="T150" s="83" t="s">
        <v>219</v>
      </c>
    </row>
    <row r="151" spans="1:20" x14ac:dyDescent="0.25">
      <c r="A151" s="54">
        <v>149</v>
      </c>
      <c r="C151" s="1" t="s">
        <v>93</v>
      </c>
      <c r="H151" s="5">
        <f>137.5*12</f>
        <v>1650</v>
      </c>
      <c r="I151" s="46">
        <v>1650</v>
      </c>
      <c r="J151" s="6">
        <f t="shared" si="62"/>
        <v>0</v>
      </c>
      <c r="K151" s="46" t="e">
        <f>+#REF!</f>
        <v>#REF!</v>
      </c>
      <c r="L151" s="6" t="e">
        <f t="shared" si="63"/>
        <v>#REF!</v>
      </c>
      <c r="M151" s="46" t="e">
        <f>+#REF!</f>
        <v>#REF!</v>
      </c>
      <c r="N151" s="5">
        <v>524</v>
      </c>
      <c r="P151" s="5">
        <v>248.72</v>
      </c>
      <c r="Q151" s="5">
        <v>1100</v>
      </c>
      <c r="R151" s="6">
        <f t="shared" si="64"/>
        <v>-0.77389090909090907</v>
      </c>
      <c r="S151" s="85" t="s">
        <v>238</v>
      </c>
      <c r="T151" s="83" t="s">
        <v>220</v>
      </c>
    </row>
    <row r="152" spans="1:20" s="4" customFormat="1" x14ac:dyDescent="0.25">
      <c r="A152" s="54">
        <v>150</v>
      </c>
      <c r="B152" s="34" t="s">
        <v>95</v>
      </c>
      <c r="C152" s="34"/>
      <c r="D152" s="34"/>
      <c r="E152" s="34"/>
      <c r="F152" s="34"/>
      <c r="G152" s="34"/>
      <c r="H152" s="34">
        <f>SUM(H144:H151)</f>
        <v>43330</v>
      </c>
      <c r="I152" s="34">
        <v>89080</v>
      </c>
      <c r="J152" s="35">
        <f t="shared" si="62"/>
        <v>-0.51358329591378538</v>
      </c>
      <c r="K152" s="34" t="e">
        <f>SUM(K144:K151)</f>
        <v>#REF!</v>
      </c>
      <c r="L152" s="35" t="e">
        <f t="shared" si="63"/>
        <v>#REF!</v>
      </c>
      <c r="M152" s="34" t="e">
        <f>SUM(M144:M151)</f>
        <v>#REF!</v>
      </c>
      <c r="N152" s="34">
        <f>SUM(N144:N151)</f>
        <v>83518</v>
      </c>
      <c r="P152" s="34">
        <f>SUM(P144:P151)</f>
        <v>65055.08</v>
      </c>
      <c r="Q152" s="34">
        <f>SUM(Q144:Q151)</f>
        <v>60280.78</v>
      </c>
      <c r="R152" s="35">
        <f t="shared" si="64"/>
        <v>7.9201032236145635E-2</v>
      </c>
      <c r="S152" s="79"/>
      <c r="T152" s="83"/>
    </row>
    <row r="153" spans="1:20" x14ac:dyDescent="0.25">
      <c r="A153" s="54">
        <v>151</v>
      </c>
      <c r="B153" s="34" t="s">
        <v>96</v>
      </c>
      <c r="C153" s="34"/>
      <c r="D153" s="34"/>
      <c r="E153" s="34"/>
      <c r="F153" s="34"/>
      <c r="G153" s="34"/>
      <c r="H153" s="34">
        <f>+H141+H152</f>
        <v>93006</v>
      </c>
      <c r="I153" s="34">
        <v>138756</v>
      </c>
      <c r="J153" s="35">
        <f t="shared" si="62"/>
        <v>-0.32971547176338323</v>
      </c>
      <c r="K153" s="34" t="e">
        <f t="shared" ref="K153:N153" si="65">+K141+K152</f>
        <v>#REF!</v>
      </c>
      <c r="L153" s="35" t="e">
        <f t="shared" si="63"/>
        <v>#REF!</v>
      </c>
      <c r="M153" s="34" t="e">
        <f t="shared" ref="M153" si="66">+M141+M152</f>
        <v>#REF!</v>
      </c>
      <c r="N153" s="34">
        <f t="shared" si="65"/>
        <v>122952</v>
      </c>
      <c r="P153" s="34">
        <f t="shared" ref="P153:Q153" si="67">+P141+P152</f>
        <v>95629.670000000013</v>
      </c>
      <c r="Q153" s="34">
        <f t="shared" si="67"/>
        <v>94764.78</v>
      </c>
      <c r="R153" s="35">
        <f t="shared" si="64"/>
        <v>9.1267029797358675E-3</v>
      </c>
      <c r="S153" s="78"/>
      <c r="T153" s="83"/>
    </row>
    <row r="154" spans="1:20" ht="4.5" customHeight="1" x14ac:dyDescent="0.25">
      <c r="A154" s="54">
        <v>152</v>
      </c>
      <c r="J154" s="7"/>
      <c r="M154" s="1"/>
      <c r="N154" s="1"/>
      <c r="S154" s="78"/>
      <c r="T154" s="83"/>
    </row>
    <row r="155" spans="1:20" ht="18.75" x14ac:dyDescent="0.25">
      <c r="A155" s="54">
        <v>153</v>
      </c>
      <c r="B155" s="10" t="s">
        <v>97</v>
      </c>
      <c r="J155" s="7"/>
      <c r="M155" s="1"/>
      <c r="N155" s="1"/>
      <c r="S155" s="78"/>
      <c r="T155" s="83"/>
    </row>
    <row r="156" spans="1:20" x14ac:dyDescent="0.25">
      <c r="A156" s="54">
        <v>154</v>
      </c>
      <c r="B156" s="4" t="s">
        <v>98</v>
      </c>
      <c r="J156" s="7"/>
      <c r="M156" s="1"/>
      <c r="N156" s="1"/>
      <c r="S156" s="78"/>
      <c r="T156" s="83"/>
    </row>
    <row r="157" spans="1:20" x14ac:dyDescent="0.25">
      <c r="A157" s="54">
        <v>155</v>
      </c>
      <c r="C157" s="1" t="s">
        <v>99</v>
      </c>
      <c r="H157" s="5">
        <v>0</v>
      </c>
      <c r="I157" s="46">
        <v>0</v>
      </c>
      <c r="J157" s="6" t="str">
        <f t="shared" ref="J157:J161" si="68">IF(I157=0,"NA",(+H157-I157)/I157)</f>
        <v>NA</v>
      </c>
      <c r="K157" s="46" t="e">
        <f>+#REF!</f>
        <v>#REF!</v>
      </c>
      <c r="L157" s="6" t="e">
        <f>IF(K157=0,"NA",(+H157-K157)/K157)</f>
        <v>#REF!</v>
      </c>
      <c r="M157" s="46" t="e">
        <f>+#REF!</f>
        <v>#REF!</v>
      </c>
      <c r="N157" s="5">
        <v>0</v>
      </c>
      <c r="P157" s="5">
        <v>0</v>
      </c>
      <c r="Q157" s="5">
        <v>0</v>
      </c>
      <c r="R157" s="6" t="str">
        <f>IF(Q157=0,"NA",(+P157-Q157)/Q157)</f>
        <v>NA</v>
      </c>
      <c r="S157" s="78"/>
      <c r="T157" s="83"/>
    </row>
    <row r="158" spans="1:20" ht="30" x14ac:dyDescent="0.25">
      <c r="A158" s="54">
        <v>156</v>
      </c>
      <c r="C158" s="1" t="s">
        <v>100</v>
      </c>
      <c r="H158" s="84">
        <v>4195</v>
      </c>
      <c r="I158" s="46">
        <v>0</v>
      </c>
      <c r="J158" s="6" t="str">
        <f t="shared" si="68"/>
        <v>NA</v>
      </c>
      <c r="K158" s="46" t="e">
        <f>+#REF!</f>
        <v>#REF!</v>
      </c>
      <c r="L158" s="6" t="e">
        <f>IF(K158=0,"NA",(+H158-K158)/K158)</f>
        <v>#REF!</v>
      </c>
      <c r="M158" s="46" t="e">
        <f>+#REF!</f>
        <v>#REF!</v>
      </c>
      <c r="N158" s="5">
        <v>4886</v>
      </c>
      <c r="P158" s="5">
        <v>0</v>
      </c>
      <c r="Q158" s="5">
        <v>0</v>
      </c>
      <c r="R158" s="6" t="str">
        <f>IF(Q158=0,"NA",(+P158-Q158)/Q158)</f>
        <v>NA</v>
      </c>
      <c r="S158" s="83" t="s">
        <v>239</v>
      </c>
      <c r="T158" s="83" t="s">
        <v>162</v>
      </c>
    </row>
    <row r="159" spans="1:20" x14ac:dyDescent="0.25">
      <c r="A159" s="54">
        <v>157</v>
      </c>
      <c r="C159" s="1" t="s">
        <v>101</v>
      </c>
      <c r="H159" s="5">
        <v>0</v>
      </c>
      <c r="I159" s="46">
        <v>0</v>
      </c>
      <c r="J159" s="6" t="str">
        <f t="shared" si="68"/>
        <v>NA</v>
      </c>
      <c r="K159" s="46" t="e">
        <f>+#REF!</f>
        <v>#REF!</v>
      </c>
      <c r="L159" s="6" t="e">
        <f>IF(K159=0,"NA",(+H159-K159)/K159)</f>
        <v>#REF!</v>
      </c>
      <c r="M159" s="46" t="e">
        <f>+#REF!</f>
        <v>#REF!</v>
      </c>
      <c r="N159" s="5">
        <v>6500</v>
      </c>
      <c r="P159" s="5">
        <v>2.12</v>
      </c>
      <c r="Q159" s="5">
        <v>0</v>
      </c>
      <c r="R159" s="6" t="str">
        <f>IF(Q159=0,"NA",(+P159-Q159)/Q159)</f>
        <v>NA</v>
      </c>
      <c r="S159" s="78"/>
      <c r="T159" s="83"/>
    </row>
    <row r="160" spans="1:20" ht="45" x14ac:dyDescent="0.25">
      <c r="A160" s="54">
        <v>158</v>
      </c>
      <c r="C160" s="1" t="s">
        <v>102</v>
      </c>
      <c r="H160" s="84">
        <v>7000</v>
      </c>
      <c r="I160" s="46">
        <v>3389</v>
      </c>
      <c r="J160" s="6">
        <f t="shared" si="68"/>
        <v>1.0655060489820005</v>
      </c>
      <c r="K160" s="46" t="e">
        <f>+#REF!</f>
        <v>#REF!</v>
      </c>
      <c r="L160" s="6" t="e">
        <f>IF(K160=0,"NA",(+H160-K160)/K160)</f>
        <v>#REF!</v>
      </c>
      <c r="M160" s="46" t="e">
        <f>+#REF!</f>
        <v>#REF!</v>
      </c>
      <c r="N160" s="5">
        <v>0</v>
      </c>
      <c r="P160" s="5">
        <v>0</v>
      </c>
      <c r="Q160" s="5">
        <v>1694.5</v>
      </c>
      <c r="R160" s="6">
        <f>IF(Q160=0,"NA",(+P160-Q160)/Q160)</f>
        <v>-1</v>
      </c>
      <c r="S160" s="85" t="s">
        <v>240</v>
      </c>
      <c r="T160" s="83" t="s">
        <v>144</v>
      </c>
    </row>
    <row r="161" spans="1:20" s="4" customFormat="1" x14ac:dyDescent="0.25">
      <c r="A161" s="54">
        <v>159</v>
      </c>
      <c r="B161" s="36" t="s">
        <v>103</v>
      </c>
      <c r="C161" s="36"/>
      <c r="D161" s="36"/>
      <c r="E161" s="36"/>
      <c r="F161" s="36"/>
      <c r="G161" s="36"/>
      <c r="H161" s="36">
        <f>SUM(H157:H160)</f>
        <v>11195</v>
      </c>
      <c r="I161" s="36">
        <v>3389</v>
      </c>
      <c r="J161" s="37">
        <f t="shared" si="68"/>
        <v>2.3033343169076423</v>
      </c>
      <c r="K161" s="36" t="e">
        <f>SUM(K157:K160)</f>
        <v>#REF!</v>
      </c>
      <c r="L161" s="37" t="e">
        <f>IF(K161=0,"NA",(+H161-K161)/K161)</f>
        <v>#REF!</v>
      </c>
      <c r="M161" s="36" t="e">
        <f>SUM(M157:M160)</f>
        <v>#REF!</v>
      </c>
      <c r="N161" s="36">
        <f>SUM(N157:N160)</f>
        <v>11386</v>
      </c>
      <c r="P161" s="36">
        <f>SUM(P157:P160)</f>
        <v>2.12</v>
      </c>
      <c r="Q161" s="36">
        <f>SUM(Q157:Q160)</f>
        <v>1694.5</v>
      </c>
      <c r="R161" s="37">
        <f>IF(Q161=0,"NA",(+P161-Q161)/Q161)</f>
        <v>-0.99874889347890239</v>
      </c>
      <c r="S161" s="79"/>
      <c r="T161" s="83"/>
    </row>
    <row r="162" spans="1:20" ht="7.5" customHeight="1" x14ac:dyDescent="0.25">
      <c r="A162" s="54">
        <v>160</v>
      </c>
      <c r="J162" s="7"/>
      <c r="M162" s="1"/>
      <c r="N162" s="1"/>
      <c r="S162" s="78"/>
      <c r="T162" s="83"/>
    </row>
    <row r="163" spans="1:20" x14ac:dyDescent="0.25">
      <c r="A163" s="54">
        <v>161</v>
      </c>
      <c r="B163" s="38" t="s">
        <v>104</v>
      </c>
      <c r="C163" s="39"/>
      <c r="D163" s="39"/>
      <c r="E163" s="39"/>
      <c r="F163" s="39"/>
      <c r="G163" s="39"/>
      <c r="H163" s="38">
        <f>+H76+H130+H153+H161+H30</f>
        <v>555637.16</v>
      </c>
      <c r="I163" s="38">
        <v>555637</v>
      </c>
      <c r="J163" s="40">
        <f t="shared" ref="J163" si="69">IF(I163=0,"NA",(+H163-I163)/I163)</f>
        <v>2.8795778544732673E-7</v>
      </c>
      <c r="K163" s="38" t="e">
        <f>+K76+K130+K153+K161+K30</f>
        <v>#REF!</v>
      </c>
      <c r="L163" s="40" t="e">
        <f>IF(K163=0,"NA",(+H163-K163)/K163)</f>
        <v>#REF!</v>
      </c>
      <c r="M163" s="38" t="e">
        <f>+M76+M130+M153+M161+M30</f>
        <v>#REF!</v>
      </c>
      <c r="N163" s="38">
        <f>+N76+N130+N153+N161+N30</f>
        <v>607020</v>
      </c>
      <c r="P163" s="38">
        <f>+P76+P130+P153+P161+P30</f>
        <v>355675.6399999999</v>
      </c>
      <c r="Q163" s="38">
        <f>+Q76+Q130+Q153+Q161+Q30</f>
        <v>371290.39999999997</v>
      </c>
      <c r="R163" s="40">
        <f>IF(Q163=0,"NA",(+P163-Q163)/Q163)</f>
        <v>-4.2055383064038471E-2</v>
      </c>
      <c r="S163" s="78"/>
      <c r="T163" s="83"/>
    </row>
    <row r="164" spans="1:20" x14ac:dyDescent="0.25">
      <c r="A164" s="54">
        <v>162</v>
      </c>
      <c r="B164" s="38" t="s">
        <v>105</v>
      </c>
      <c r="C164" s="39"/>
      <c r="D164" s="39"/>
      <c r="E164" s="39"/>
      <c r="F164" s="39"/>
      <c r="G164" s="39"/>
      <c r="H164" s="38">
        <f>ROUND(+H21-H163,0)</f>
        <v>0</v>
      </c>
      <c r="I164" s="38">
        <v>0</v>
      </c>
      <c r="J164" s="62" t="s">
        <v>128</v>
      </c>
      <c r="K164" s="38" t="e">
        <f>+K21-K163</f>
        <v>#REF!</v>
      </c>
      <c r="L164" s="40" t="e">
        <f>IF(K164=0,"NA",(+H164-K164)/K164)</f>
        <v>#REF!</v>
      </c>
      <c r="M164" s="38" t="e">
        <f>+M21-M163</f>
        <v>#REF!</v>
      </c>
      <c r="N164" s="38">
        <f>+N21-N163</f>
        <v>-38009</v>
      </c>
      <c r="P164" s="38">
        <f>+P21-P163</f>
        <v>33132.370000000112</v>
      </c>
      <c r="Q164" s="38">
        <f>+Q21-Q163</f>
        <v>32062.460000000021</v>
      </c>
      <c r="R164" s="40">
        <f>IF(Q164=0,"NA",(+P164-Q164)/Q164)</f>
        <v>3.3369554301201157E-2</v>
      </c>
      <c r="S164" s="78"/>
      <c r="T164" s="86"/>
    </row>
    <row r="165" spans="1:20" x14ac:dyDescent="0.25">
      <c r="J165" s="7"/>
      <c r="S165" s="78"/>
      <c r="T165" s="83"/>
    </row>
    <row r="166" spans="1:20" x14ac:dyDescent="0.25">
      <c r="J166" s="7"/>
      <c r="S166" s="78"/>
      <c r="T166" s="83"/>
    </row>
    <row r="167" spans="1:20" x14ac:dyDescent="0.25">
      <c r="F167" s="33"/>
      <c r="J167" s="7"/>
      <c r="S167" s="78"/>
      <c r="T167" s="83"/>
    </row>
    <row r="168" spans="1:20" x14ac:dyDescent="0.25">
      <c r="J168" s="7"/>
      <c r="S168" s="78"/>
      <c r="T168" s="83"/>
    </row>
    <row r="169" spans="1:20" x14ac:dyDescent="0.25">
      <c r="F169" s="33"/>
      <c r="J169" s="7"/>
      <c r="S169" s="78"/>
      <c r="T169" s="83"/>
    </row>
    <row r="170" spans="1:20" x14ac:dyDescent="0.25">
      <c r="J170" s="7"/>
      <c r="S170" s="78"/>
      <c r="T170" s="83"/>
    </row>
    <row r="171" spans="1:20" x14ac:dyDescent="0.25">
      <c r="J171" s="7"/>
      <c r="S171" s="78"/>
      <c r="T171" s="83"/>
    </row>
    <row r="172" spans="1:20" x14ac:dyDescent="0.25">
      <c r="J172" s="7"/>
      <c r="S172" s="78"/>
      <c r="T172" s="83"/>
    </row>
    <row r="173" spans="1:20" x14ac:dyDescent="0.25">
      <c r="A173" s="1"/>
      <c r="B173" s="1"/>
      <c r="J173" s="7"/>
      <c r="L173" s="1"/>
      <c r="M173" s="1"/>
      <c r="N173" s="1"/>
      <c r="R173" s="1"/>
      <c r="S173" s="70"/>
      <c r="T173" s="83"/>
    </row>
    <row r="174" spans="1:20" x14ac:dyDescent="0.25">
      <c r="A174" s="1"/>
      <c r="B174" s="1"/>
      <c r="J174" s="7"/>
      <c r="L174" s="1"/>
      <c r="M174" s="1"/>
      <c r="N174" s="1"/>
      <c r="R174" s="1"/>
      <c r="S174" s="70"/>
      <c r="T174" s="83"/>
    </row>
    <row r="175" spans="1:20" x14ac:dyDescent="0.25">
      <c r="A175" s="1"/>
      <c r="B175" s="1"/>
      <c r="J175" s="7"/>
      <c r="L175" s="1"/>
      <c r="M175" s="1"/>
      <c r="N175" s="1"/>
      <c r="R175" s="1"/>
      <c r="S175" s="70"/>
      <c r="T175" s="46"/>
    </row>
    <row r="176" spans="1:20" x14ac:dyDescent="0.25">
      <c r="A176" s="1"/>
      <c r="B176" s="1"/>
      <c r="J176" s="7"/>
      <c r="L176" s="1"/>
      <c r="M176" s="1"/>
      <c r="N176" s="1"/>
      <c r="R176" s="1"/>
      <c r="S176" s="70"/>
      <c r="T176" s="46"/>
    </row>
    <row r="177" spans="1:20" x14ac:dyDescent="0.25">
      <c r="A177" s="1"/>
      <c r="B177" s="1"/>
      <c r="J177" s="7"/>
      <c r="L177" s="1"/>
      <c r="M177" s="1"/>
      <c r="N177" s="1"/>
      <c r="R177" s="1"/>
      <c r="S177" s="70"/>
      <c r="T177" s="46"/>
    </row>
    <row r="178" spans="1:20" x14ac:dyDescent="0.25">
      <c r="A178" s="1"/>
      <c r="B178" s="1"/>
      <c r="J178" s="7"/>
      <c r="L178" s="1"/>
      <c r="M178" s="1"/>
      <c r="N178" s="1"/>
      <c r="R178" s="1"/>
      <c r="S178" s="70"/>
      <c r="T178" s="46"/>
    </row>
    <row r="179" spans="1:20" x14ac:dyDescent="0.25">
      <c r="A179" s="1"/>
      <c r="B179" s="1"/>
      <c r="J179" s="7"/>
      <c r="L179" s="1"/>
      <c r="M179" s="1"/>
      <c r="N179" s="1"/>
      <c r="R179" s="1"/>
      <c r="S179" s="70"/>
      <c r="T179" s="46"/>
    </row>
    <row r="180" spans="1:20" x14ac:dyDescent="0.25">
      <c r="A180" s="1"/>
      <c r="B180" s="1"/>
      <c r="J180" s="7"/>
      <c r="L180" s="1"/>
      <c r="M180" s="1"/>
      <c r="N180" s="1"/>
      <c r="R180" s="1"/>
      <c r="S180" s="70"/>
      <c r="T180" s="46"/>
    </row>
    <row r="181" spans="1:20" x14ac:dyDescent="0.25">
      <c r="A181" s="1"/>
      <c r="B181" s="1"/>
      <c r="J181" s="7"/>
      <c r="L181" s="1"/>
      <c r="M181" s="1"/>
      <c r="N181" s="1"/>
      <c r="R181" s="1"/>
      <c r="S181" s="70"/>
      <c r="T181" s="46"/>
    </row>
    <row r="182" spans="1:20" x14ac:dyDescent="0.25">
      <c r="A182" s="1"/>
      <c r="B182" s="1"/>
      <c r="J182" s="7"/>
      <c r="L182" s="1"/>
      <c r="M182" s="1"/>
      <c r="N182" s="1"/>
      <c r="R182" s="1"/>
      <c r="S182" s="70"/>
      <c r="T182" s="46"/>
    </row>
    <row r="183" spans="1:20" x14ac:dyDescent="0.25">
      <c r="A183" s="1"/>
      <c r="B183" s="1"/>
      <c r="J183" s="7"/>
      <c r="L183" s="1"/>
      <c r="M183" s="1"/>
      <c r="N183" s="1"/>
      <c r="R183" s="1"/>
      <c r="S183" s="70"/>
      <c r="T183" s="46"/>
    </row>
    <row r="184" spans="1:20" x14ac:dyDescent="0.25">
      <c r="A184" s="1"/>
      <c r="B184" s="1"/>
      <c r="J184" s="7"/>
      <c r="L184" s="1"/>
      <c r="M184" s="1"/>
      <c r="N184" s="1"/>
      <c r="R184" s="1"/>
      <c r="S184" s="70"/>
      <c r="T184" s="46"/>
    </row>
    <row r="185" spans="1:20" x14ac:dyDescent="0.25">
      <c r="A185" s="1"/>
      <c r="B185" s="1"/>
      <c r="J185" s="7"/>
      <c r="L185" s="1"/>
      <c r="M185" s="1"/>
      <c r="N185" s="1"/>
      <c r="R185" s="1"/>
      <c r="S185" s="70"/>
      <c r="T185" s="46"/>
    </row>
    <row r="186" spans="1:20" x14ac:dyDescent="0.25">
      <c r="A186" s="1"/>
      <c r="B186" s="1"/>
      <c r="J186" s="7"/>
      <c r="L186" s="1"/>
      <c r="M186" s="1"/>
      <c r="N186" s="1"/>
      <c r="R186" s="1"/>
      <c r="S186" s="1"/>
      <c r="T186" s="46"/>
    </row>
    <row r="187" spans="1:20" x14ac:dyDescent="0.25">
      <c r="T187" s="46"/>
    </row>
    <row r="188" spans="1:20" x14ac:dyDescent="0.25">
      <c r="T188" s="83"/>
    </row>
    <row r="189" spans="1:20" x14ac:dyDescent="0.25">
      <c r="T189" s="83"/>
    </row>
    <row r="190" spans="1:20" x14ac:dyDescent="0.25">
      <c r="T190" s="83"/>
    </row>
    <row r="191" spans="1:20" x14ac:dyDescent="0.25">
      <c r="T191" s="83"/>
    </row>
    <row r="192" spans="1:20" x14ac:dyDescent="0.25">
      <c r="T192" s="83"/>
    </row>
    <row r="193" spans="20:20" x14ac:dyDescent="0.25">
      <c r="T193" s="83"/>
    </row>
    <row r="194" spans="20:20" x14ac:dyDescent="0.25">
      <c r="T194" s="83"/>
    </row>
    <row r="195" spans="20:20" x14ac:dyDescent="0.25">
      <c r="T195" s="83"/>
    </row>
    <row r="196" spans="20:20" x14ac:dyDescent="0.25">
      <c r="T196" s="83"/>
    </row>
    <row r="197" spans="20:20" x14ac:dyDescent="0.25">
      <c r="T197" s="83"/>
    </row>
    <row r="198" spans="20:20" x14ac:dyDescent="0.25">
      <c r="T198" s="83"/>
    </row>
    <row r="199" spans="20:20" x14ac:dyDescent="0.25">
      <c r="T199" s="83"/>
    </row>
    <row r="200" spans="20:20" x14ac:dyDescent="0.25">
      <c r="T200" s="83"/>
    </row>
    <row r="201" spans="20:20" x14ac:dyDescent="0.25">
      <c r="T201" s="83"/>
    </row>
    <row r="202" spans="20:20" x14ac:dyDescent="0.25">
      <c r="T202" s="83"/>
    </row>
    <row r="203" spans="20:20" x14ac:dyDescent="0.25">
      <c r="T203" s="83"/>
    </row>
    <row r="204" spans="20:20" x14ac:dyDescent="0.25">
      <c r="T204" s="83"/>
    </row>
    <row r="205" spans="20:20" x14ac:dyDescent="0.25">
      <c r="T205" s="83"/>
    </row>
    <row r="206" spans="20:20" x14ac:dyDescent="0.25">
      <c r="T206" s="83"/>
    </row>
    <row r="207" spans="20:20" x14ac:dyDescent="0.25">
      <c r="T207" s="83"/>
    </row>
    <row r="208" spans="20:20" x14ac:dyDescent="0.25">
      <c r="T208" s="83"/>
    </row>
    <row r="209" spans="20:20" x14ac:dyDescent="0.25">
      <c r="T209" s="83"/>
    </row>
    <row r="210" spans="20:20" x14ac:dyDescent="0.25">
      <c r="T210" s="83"/>
    </row>
    <row r="211" spans="20:20" x14ac:dyDescent="0.25">
      <c r="T211" s="83"/>
    </row>
    <row r="212" spans="20:20" x14ac:dyDescent="0.25">
      <c r="T212" s="83"/>
    </row>
    <row r="213" spans="20:20" x14ac:dyDescent="0.25">
      <c r="T213" s="83"/>
    </row>
    <row r="214" spans="20:20" x14ac:dyDescent="0.25">
      <c r="T214" s="83"/>
    </row>
    <row r="215" spans="20:20" x14ac:dyDescent="0.25">
      <c r="T215" s="83"/>
    </row>
  </sheetData>
  <mergeCells count="6">
    <mergeCell ref="C147:D147"/>
    <mergeCell ref="P3:R3"/>
    <mergeCell ref="B1:S1"/>
    <mergeCell ref="B2:S2"/>
    <mergeCell ref="G78:G79"/>
    <mergeCell ref="H3:J3"/>
  </mergeCells>
  <pageMargins left="0" right="0" top="0" bottom="0" header="0.3" footer="0.3"/>
  <pageSetup scale="46" fitToHeight="0" orientation="landscape" r:id="rId1"/>
  <headerFooter>
    <oddFooter>&amp;C&amp;P of &amp;N&amp;R&amp;D</oddFooter>
  </headerFooter>
  <rowBreaks count="1" manualBreakCount="1">
    <brk id="76" max="16383" man="1"/>
  </rowBreaks>
  <colBreaks count="1" manualBreakCount="1">
    <brk id="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Top Sheet</vt:lpstr>
      <vt:lpstr>Summary New Year</vt:lpstr>
      <vt:lpstr>New Year-Full Year</vt:lpstr>
      <vt:lpstr>Cur_Month</vt:lpstr>
      <vt:lpstr>Cur_Year</vt:lpstr>
      <vt:lpstr>'New Year-Full Year'!Print_Titles</vt:lpstr>
      <vt:lpstr>'Summary New Year'!Print_Titles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SC Johnson</cp:lastModifiedBy>
  <cp:lastPrinted>2015-10-08T21:13:08Z</cp:lastPrinted>
  <dcterms:created xsi:type="dcterms:W3CDTF">2011-12-01T18:07:46Z</dcterms:created>
  <dcterms:modified xsi:type="dcterms:W3CDTF">2015-10-11T20:33:02Z</dcterms:modified>
</cp:coreProperties>
</file>